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60" windowWidth="18195" windowHeight="11835"/>
  </bookViews>
  <sheets>
    <sheet name="Cover Page" sheetId="13" r:id="rId1"/>
    <sheet name="FFCC Read Me " sheetId="2" r:id="rId2"/>
    <sheet name="FFCC Boiler replacement x 3" sheetId="3" r:id="rId3"/>
    <sheet name="FFCC Boiler retrofit to gas x 3" sheetId="4" r:id="rId4"/>
    <sheet name="FFCC Boiler replacement x 1" sheetId="5" r:id="rId5"/>
    <sheet name="FFCC Boiler retrofit to gas x1" sheetId="6" r:id="rId6"/>
    <sheet name="FFCC Wet Scrubber" sheetId="7" r:id="rId7"/>
    <sheet name="FFCC SDA" sheetId="8" r:id="rId8"/>
    <sheet name="FFCC DSI" sheetId="9" r:id="rId9"/>
    <sheet name="FFC LSC" sheetId="10" r:id="rId10"/>
    <sheet name="FFCC SCR" sheetId="11" r:id="rId11"/>
    <sheet name="FFCC SNCR " sheetId="12" r:id="rId12"/>
    <sheet name="CEPCI Index" sheetId="1" r:id="rId13"/>
  </sheets>
  <externalReferences>
    <externalReference r:id="rId14"/>
  </externalReferences>
  <calcPr calcId="145621"/>
</workbook>
</file>

<file path=xl/calcChain.xml><?xml version="1.0" encoding="utf-8"?>
<calcChain xmlns="http://schemas.openxmlformats.org/spreadsheetml/2006/main">
  <c r="E22" i="10" l="1"/>
  <c r="D22" i="10"/>
  <c r="B22" i="10"/>
  <c r="C22" i="10" s="1"/>
  <c r="E10" i="10" l="1"/>
  <c r="D10" i="10"/>
  <c r="C10" i="10"/>
  <c r="E11" i="10"/>
  <c r="E12" i="10" s="1"/>
  <c r="D11" i="10"/>
  <c r="D12" i="10" s="1"/>
  <c r="C11" i="10"/>
  <c r="C12" i="10" s="1"/>
  <c r="B27" i="12" l="1"/>
  <c r="B25" i="12"/>
  <c r="B18" i="12"/>
  <c r="B21" i="12" s="1"/>
  <c r="B15" i="12"/>
  <c r="B6" i="12"/>
  <c r="B5" i="12"/>
  <c r="B9" i="12" s="1"/>
  <c r="B22" i="12" s="1"/>
  <c r="B28" i="12" s="1"/>
  <c r="B4" i="12"/>
  <c r="B25" i="11"/>
  <c r="B27" i="11" s="1"/>
  <c r="B19" i="11"/>
  <c r="B17" i="11"/>
  <c r="B15" i="11"/>
  <c r="B9" i="11"/>
  <c r="B6" i="11"/>
  <c r="B5" i="11"/>
  <c r="B20" i="11" s="1"/>
  <c r="B4" i="11"/>
  <c r="E9" i="10"/>
  <c r="E13" i="10" s="1"/>
  <c r="D9" i="10"/>
  <c r="D13" i="10" s="1"/>
  <c r="C9" i="10"/>
  <c r="B21" i="10" s="1"/>
  <c r="E8" i="10"/>
  <c r="D7" i="10"/>
  <c r="D8" i="10" s="1"/>
  <c r="C7" i="10"/>
  <c r="C8" i="10" s="1"/>
  <c r="C14" i="10" s="1"/>
  <c r="B27" i="9"/>
  <c r="B29" i="9" s="1"/>
  <c r="B19" i="9"/>
  <c r="B17" i="9"/>
  <c r="B6" i="9"/>
  <c r="B4" i="9"/>
  <c r="B5" i="9" s="1"/>
  <c r="B29" i="8"/>
  <c r="B27" i="8"/>
  <c r="B19" i="8"/>
  <c r="B17" i="8"/>
  <c r="B6" i="8"/>
  <c r="B4" i="8"/>
  <c r="B5" i="8" s="1"/>
  <c r="B29" i="7"/>
  <c r="B27" i="7"/>
  <c r="B19" i="7"/>
  <c r="B17" i="7"/>
  <c r="B6" i="7"/>
  <c r="B4" i="7"/>
  <c r="B5" i="7" s="1"/>
  <c r="C29" i="6"/>
  <c r="C31" i="6" s="1"/>
  <c r="B29" i="6"/>
  <c r="B31" i="6" s="1"/>
  <c r="B21" i="6"/>
  <c r="H11" i="6"/>
  <c r="H15" i="6" s="1"/>
  <c r="I25" i="6" s="1"/>
  <c r="I27" i="6" s="1"/>
  <c r="B11" i="6" s="1"/>
  <c r="B19" i="6" s="1"/>
  <c r="H6" i="6"/>
  <c r="B6" i="6"/>
  <c r="B5" i="6"/>
  <c r="B22" i="6" s="1"/>
  <c r="B4" i="6"/>
  <c r="C29" i="5"/>
  <c r="C31" i="5" s="1"/>
  <c r="B29" i="5"/>
  <c r="B31" i="5" s="1"/>
  <c r="D31" i="5" s="1"/>
  <c r="B21" i="5"/>
  <c r="H11" i="5"/>
  <c r="H15" i="5" s="1"/>
  <c r="I25" i="5" s="1"/>
  <c r="I27" i="5" s="1"/>
  <c r="B11" i="5" s="1"/>
  <c r="B19" i="5" s="1"/>
  <c r="H6" i="5"/>
  <c r="B6" i="5"/>
  <c r="B5" i="5"/>
  <c r="B24" i="5" s="1"/>
  <c r="B4" i="5"/>
  <c r="C29" i="4"/>
  <c r="C31" i="4" s="1"/>
  <c r="B29" i="4"/>
  <c r="B31" i="4" s="1"/>
  <c r="B21" i="4"/>
  <c r="H11" i="4"/>
  <c r="H15" i="4" s="1"/>
  <c r="I25" i="4" s="1"/>
  <c r="I27" i="4" s="1"/>
  <c r="B11" i="4" s="1"/>
  <c r="B19" i="4" s="1"/>
  <c r="H6" i="4"/>
  <c r="B6" i="4"/>
  <c r="B5" i="4"/>
  <c r="B24" i="4" s="1"/>
  <c r="B4" i="4"/>
  <c r="C31" i="3"/>
  <c r="C29" i="3"/>
  <c r="B29" i="3"/>
  <c r="B31" i="3" s="1"/>
  <c r="D31" i="3" s="1"/>
  <c r="B21" i="3"/>
  <c r="H11" i="3"/>
  <c r="H15" i="3" s="1"/>
  <c r="I25" i="3" s="1"/>
  <c r="I27" i="3" s="1"/>
  <c r="B11" i="3" s="1"/>
  <c r="B19" i="3" s="1"/>
  <c r="H6" i="3"/>
  <c r="B6" i="3"/>
  <c r="B5" i="3"/>
  <c r="B23" i="3" s="1"/>
  <c r="B4" i="3"/>
  <c r="N6" i="2"/>
  <c r="M6" i="2"/>
  <c r="C23" i="1"/>
  <c r="C22" i="1"/>
  <c r="C21" i="1"/>
  <c r="C20" i="1"/>
  <c r="C19" i="1"/>
  <c r="C18" i="1"/>
  <c r="C17" i="1"/>
  <c r="C16" i="1"/>
  <c r="C15" i="1"/>
  <c r="C14" i="1"/>
  <c r="C13" i="1"/>
  <c r="C12" i="1"/>
  <c r="C11" i="1"/>
  <c r="C10" i="1"/>
  <c r="C9" i="1"/>
  <c r="C8" i="1"/>
  <c r="C7" i="1"/>
  <c r="C6" i="1"/>
  <c r="C5" i="1"/>
  <c r="C4" i="1"/>
  <c r="C3" i="1"/>
  <c r="C2" i="1"/>
  <c r="E14" i="10" l="1"/>
  <c r="E16" i="10"/>
  <c r="E15" i="10"/>
  <c r="C21" i="10"/>
  <c r="E21" i="10"/>
  <c r="D21" i="10"/>
  <c r="D14" i="10"/>
  <c r="D15" i="10"/>
  <c r="C13" i="10"/>
  <c r="D31" i="6"/>
  <c r="B25" i="4"/>
  <c r="B21" i="9"/>
  <c r="B9" i="9"/>
  <c r="B20" i="9"/>
  <c r="B23" i="9" s="1"/>
  <c r="B22" i="9"/>
  <c r="D31" i="4"/>
  <c r="B22" i="8"/>
  <c r="B21" i="8"/>
  <c r="B9" i="8"/>
  <c r="B20" i="8"/>
  <c r="B23" i="8" s="1"/>
  <c r="B21" i="7"/>
  <c r="B9" i="7"/>
  <c r="B20" i="7"/>
  <c r="B23" i="7" s="1"/>
  <c r="B22" i="7"/>
  <c r="B9" i="3"/>
  <c r="B24" i="3"/>
  <c r="B22" i="5"/>
  <c r="B25" i="5" s="1"/>
  <c r="B23" i="6"/>
  <c r="B25" i="6" s="1"/>
  <c r="B22" i="4"/>
  <c r="B23" i="5"/>
  <c r="B9" i="6"/>
  <c r="B24" i="6"/>
  <c r="B18" i="11"/>
  <c r="B21" i="11" s="1"/>
  <c r="B22" i="3"/>
  <c r="B25" i="3" s="1"/>
  <c r="B23" i="4"/>
  <c r="B9" i="5"/>
  <c r="B9" i="4"/>
  <c r="B22" i="11" l="1"/>
  <c r="B28" i="11" s="1"/>
  <c r="B24" i="8"/>
  <c r="B30" i="8" s="1"/>
  <c r="B26" i="5"/>
  <c r="B26" i="4"/>
  <c r="B26" i="3"/>
  <c r="B24" i="9"/>
  <c r="B30" i="9" s="1"/>
  <c r="B26" i="6"/>
  <c r="B24" i="7"/>
  <c r="B30" i="7" s="1"/>
  <c r="B32" i="6" l="1"/>
  <c r="D32" i="6"/>
  <c r="C32" i="6"/>
  <c r="D32" i="5"/>
  <c r="C32" i="5"/>
  <c r="B32" i="5"/>
  <c r="C32" i="3"/>
  <c r="B32" i="3"/>
  <c r="D32" i="3"/>
  <c r="D32" i="4"/>
  <c r="C32" i="4"/>
  <c r="B32" i="4"/>
</calcChain>
</file>

<file path=xl/sharedStrings.xml><?xml version="1.0" encoding="utf-8"?>
<sst xmlns="http://schemas.openxmlformats.org/spreadsheetml/2006/main" count="457" uniqueCount="114">
  <si>
    <t>Year (n)</t>
  </si>
  <si>
    <t>CEPCI Index Value</t>
  </si>
  <si>
    <r>
      <t>Cost Index Ratio (Value</t>
    </r>
    <r>
      <rPr>
        <vertAlign val="subscript"/>
        <sz val="11"/>
        <color theme="1"/>
        <rFont val="Calibri"/>
        <family val="2"/>
        <scheme val="minor"/>
      </rPr>
      <t>2019</t>
    </r>
    <r>
      <rPr>
        <sz val="11"/>
        <color theme="1"/>
        <rFont val="Calibri"/>
        <family val="2"/>
        <scheme val="minor"/>
      </rPr>
      <t>/Value</t>
    </r>
    <r>
      <rPr>
        <vertAlign val="subscript"/>
        <sz val="11"/>
        <color theme="1"/>
        <rFont val="Calibri"/>
        <family val="2"/>
        <scheme val="minor"/>
      </rPr>
      <t>n</t>
    </r>
    <r>
      <rPr>
        <sz val="11"/>
        <color theme="1"/>
        <rFont val="Calibri"/>
        <family val="2"/>
        <scheme val="minor"/>
      </rPr>
      <t>)</t>
    </r>
  </si>
  <si>
    <t>Annual Baseline Emissions</t>
  </si>
  <si>
    <t>SO2</t>
  </si>
  <si>
    <t>Nox</t>
  </si>
  <si>
    <t>Data Source</t>
  </si>
  <si>
    <t>EIS Gateway</t>
  </si>
  <si>
    <t>DEQ EI Submission</t>
  </si>
  <si>
    <t>Avg</t>
  </si>
  <si>
    <t>3.125% interest</t>
  </si>
  <si>
    <t>Incremental Fuel Cost Calculations</t>
  </si>
  <si>
    <t>Capital Investment</t>
  </si>
  <si>
    <t>Estimate</t>
  </si>
  <si>
    <t>Notes</t>
  </si>
  <si>
    <t>Direct and Indirect Capital Investment</t>
  </si>
  <si>
    <t xml:space="preserve">Coal-Fired Boilers </t>
  </si>
  <si>
    <t>20% Contingency (0.2*Direct and Indirect Capital Investment)</t>
  </si>
  <si>
    <t>lb steam</t>
  </si>
  <si>
    <t>btu</t>
  </si>
  <si>
    <t>lb coal</t>
  </si>
  <si>
    <t>short ton</t>
  </si>
  <si>
    <t>$</t>
  </si>
  <si>
    <t>Northern Appalachia (&lt;3% SO2, 13000lb/btu, EIA accessed on 7/17/20)</t>
  </si>
  <si>
    <t>Total Capital Investment (TCI)</t>
  </si>
  <si>
    <t>hr</t>
  </si>
  <si>
    <t>lb</t>
  </si>
  <si>
    <t>CRF =  (i(1+i)^n)/(((1+i)^n)-1)</t>
  </si>
  <si>
    <t>Natural Gas Fired Boilers</t>
  </si>
  <si>
    <t>Annualized Capital Investment</t>
  </si>
  <si>
    <t>MMbtu</t>
  </si>
  <si>
    <t>Midwest Region Natural Gas (EIA accessed on 7/17/20)</t>
  </si>
  <si>
    <t>Annual Operating and Maintenance Costs</t>
  </si>
  <si>
    <t>Mmbtu</t>
  </si>
  <si>
    <t>Fuel</t>
  </si>
  <si>
    <t>See incremental fuel cost calculations</t>
  </si>
  <si>
    <t xml:space="preserve">Incremental Electrical Costs </t>
  </si>
  <si>
    <t xml:space="preserve"> Incremental Maintenance Costs </t>
  </si>
  <si>
    <t xml:space="preserve">Incremental Operating And Support Labor Costs </t>
  </si>
  <si>
    <t xml:space="preserve">Incremental Permitting and Compliance Costs </t>
  </si>
  <si>
    <t xml:space="preserve">Offsite Liquid Waste Disposal Costs </t>
  </si>
  <si>
    <t>Offsite Dewatered Sludge Disposal Costs</t>
  </si>
  <si>
    <t>It is 13% cheaper to operate using natural gas, this does not account for the cost of transportation of coal. FutureFuels already has existing pipeline infrastructure for its other natural gas units therefore there should not be additional cost associated with transport of gas).</t>
  </si>
  <si>
    <t xml:space="preserve">Offsite Disposal Support Labor Costs </t>
  </si>
  <si>
    <t>Total Annual Operating and Maintenance Costs</t>
  </si>
  <si>
    <t>% change (%) = (cost of natural gas  to generate 1 lb of steam (N) minus cost of coal to generate 1 lb steam(C))/(cost of coal to generate 1 lb of steam(C))</t>
  </si>
  <si>
    <t>Indirect Annual Costs</t>
  </si>
  <si>
    <t>Overhead</t>
  </si>
  <si>
    <t>%=(N-C)/C</t>
  </si>
  <si>
    <t>C%=N-C</t>
  </si>
  <si>
    <t>C+C% = N</t>
  </si>
  <si>
    <t>C(1+%)=N</t>
  </si>
  <si>
    <t>C=N/(1+%)</t>
  </si>
  <si>
    <t>Administrative</t>
  </si>
  <si>
    <t>Property Tax</t>
  </si>
  <si>
    <t>N=</t>
  </si>
  <si>
    <t>Insurance</t>
  </si>
  <si>
    <t xml:space="preserve">Total Indirect Annual Cost </t>
  </si>
  <si>
    <t>C=</t>
  </si>
  <si>
    <t>Total Annual Cost</t>
  </si>
  <si>
    <t>NOx</t>
  </si>
  <si>
    <t>Both</t>
  </si>
  <si>
    <t>Average Annual Baseline Emissions (tons)</t>
  </si>
  <si>
    <t>623,677 cheaper to burn natural gas per year than current fuel</t>
  </si>
  <si>
    <t xml:space="preserve">Control Efficiency </t>
  </si>
  <si>
    <t>Estimated Emission Reductions (tons)</t>
  </si>
  <si>
    <t>Cost-Effectiveness ($/ton)</t>
  </si>
  <si>
    <t>Replacement of 3 coal-fired boilers with two natural gas-fired boilers</t>
  </si>
  <si>
    <t>AFUDC, Owner's Costs, Contingency subtractd from capital costs provided by FutureFuel</t>
  </si>
  <si>
    <t>Fixed Additional Operating Labor Costs</t>
  </si>
  <si>
    <t>Fixed AdditionalMaintenance Labor and Materials</t>
  </si>
  <si>
    <t>Additional Administrative Labor Costs</t>
  </si>
  <si>
    <t>Variable Sorbent Cost</t>
  </si>
  <si>
    <t>Variable Cost Waste Disposal of Sorbent</t>
  </si>
  <si>
    <t>Variable cost of Additional Power, Makeup Water, and Sulfuric Acid</t>
  </si>
  <si>
    <t>Fixed Additional Maintenance Labor and Materials</t>
  </si>
  <si>
    <t>Variable cost of Additional Power and Make Up Water</t>
  </si>
  <si>
    <t>Owner's Costs, Contingency subtracted from capital costs provided by FutureFuel</t>
  </si>
  <si>
    <t xml:space="preserve">Variable cost of Additional Power </t>
  </si>
  <si>
    <t>Incremental Cost-Effectiveness 2.5%</t>
  </si>
  <si>
    <t>Incremental Cost-Effectiveness 2%</t>
  </si>
  <si>
    <t>Maintenance</t>
  </si>
  <si>
    <t>Reagent</t>
  </si>
  <si>
    <t>Electricity</t>
  </si>
  <si>
    <t>Catalyst Replacement</t>
  </si>
  <si>
    <t>Water, Additional Fuel, Additional Ash Cost</t>
  </si>
  <si>
    <t>I = 0.0325 (bank prime rate on 7/16/20),  n = 30 years</t>
  </si>
  <si>
    <t>I = 0.0325 (bank prime rate on 7/16/20),  n = 20 years</t>
  </si>
  <si>
    <t>Percent Reduction in Coal Sulfur Content</t>
  </si>
  <si>
    <t>Average Annual Baseline Emissions (all fuels tons)</t>
  </si>
  <si>
    <t>Average Annual Baseline Emissions  (coal only tons)</t>
  </si>
  <si>
    <t>All Fuels</t>
  </si>
  <si>
    <t>All Feed Year</t>
  </si>
  <si>
    <t>CFBs mmBtu/yr</t>
  </si>
  <si>
    <t>Waste mmBtu/yr</t>
  </si>
  <si>
    <t>Total mmBtu/yr</t>
  </si>
  <si>
    <t>CFBs Year</t>
  </si>
  <si>
    <t>BLR 1 mmBtu/yr</t>
  </si>
  <si>
    <t>BLR 2 mmBtu/yr</t>
  </si>
  <si>
    <t>BLR 3 mmBtu/yr</t>
  </si>
  <si>
    <t>All Coal-Fired Boilers mmBtu/yr</t>
  </si>
  <si>
    <t>ton SO2/yr</t>
  </si>
  <si>
    <t>2017 - 2019 FFCC Baseline Coal Data</t>
  </si>
  <si>
    <t>Total Heat Input</t>
  </si>
  <si>
    <t>Sulfur Content Control Scenarios</t>
  </si>
  <si>
    <t>Incremental Increase in Cost ($)</t>
  </si>
  <si>
    <t>Tax ($)</t>
  </si>
  <si>
    <t>Total Annual Cost ($ 2019)</t>
  </si>
  <si>
    <t>Effective Control Efficiency(%)</t>
  </si>
  <si>
    <t>Annual Baseline Emissions (All Fuels)</t>
  </si>
  <si>
    <t>Baseline Emission Rate (lb SO2/MMBTU)</t>
  </si>
  <si>
    <t>Sulfur Content Control Scenarios Emission Rates (lb SO2/MMBTU)</t>
  </si>
  <si>
    <t>Costs for each lower sulfur content coal scenario were revised to reflect the incremental cost of the scenario above current costs for coal.  The tax associated with the 1.5% sulfur content coal control scenario was adjusted to remove cost of transportation from the taxable amount. In addition, the control efficiency was adjusted to reflect emission reductions resulting from switching coals without making changes to emissions from waste streams in the baseline. This change reflects a mass-balance estimation of SO2 emitted from burning coal and the average sulfur content of the coals burned during the baseline instead of the permitted sulfur content limit for coal. (See email from Philip Antici on 7/23/ 20 and FFCC Coal and Waste SO2 mmBtu Baseline_9_8_2020 spreadsheet.</t>
  </si>
  <si>
    <t>Coal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</si>
</sst>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00_);_(&quot;$&quot;* \(#,##0.0000000\);_(&quot;$&quot;* &quot;-&quot;??_);_(@_)"/>
    <numFmt numFmtId="167" formatCode="_(&quot;$&quot;* #,##0.000000_);_(&quot;$&quot;* \(#,##0.000000\);_(&quot;$&quot;* &quot;-&quot;??_);_(@_)"/>
    <numFmt numFmtId="168" formatCode="&quot;$&quot;#,##0.00\ ;\(&quot;$&quot;#,##0.00\)"/>
    <numFmt numFmtId="169" formatCode="&quot;$&quot;#,##0\ ;\(&quot;$&quot;#,##0\)"/>
    <numFmt numFmtId="170"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vertAlign val="subscript"/>
      <sz val="11"/>
      <color theme="1"/>
      <name val="Calibri"/>
      <family val="2"/>
      <scheme val="minor"/>
    </font>
    <font>
      <sz val="10"/>
      <name val="Arial"/>
      <family val="2"/>
    </font>
    <font>
      <sz val="12"/>
      <color indexed="24"/>
      <name val="Arial"/>
      <family val="2"/>
    </font>
    <font>
      <sz val="12"/>
      <name val="Arial"/>
      <family val="2"/>
    </font>
    <font>
      <b/>
      <sz val="18"/>
      <name val="Arial"/>
      <family val="2"/>
    </font>
    <font>
      <sz val="18"/>
      <color indexed="24"/>
      <name val="Arial"/>
      <family val="2"/>
    </font>
    <font>
      <b/>
      <sz val="12"/>
      <name val="Arial"/>
      <family val="2"/>
    </font>
    <font>
      <sz val="8"/>
      <color indexed="24"/>
      <name val="Arial"/>
      <family val="2"/>
    </font>
    <font>
      <u/>
      <sz val="11"/>
      <color theme="10"/>
      <name val="Calibri"/>
      <family val="2"/>
    </font>
    <font>
      <sz val="11"/>
      <name val="Times New Roman"/>
      <family val="1"/>
    </font>
    <font>
      <sz val="18"/>
      <color theme="3"/>
      <name val="Cambria"/>
      <family val="2"/>
      <scheme val="major"/>
    </font>
    <font>
      <b/>
      <sz val="11"/>
      <color theme="1"/>
      <name val="Times New Roman"/>
      <family val="1"/>
    </font>
    <font>
      <sz val="11"/>
      <color theme="1"/>
      <name val="Times New Roman"/>
      <family val="1"/>
    </font>
    <font>
      <sz val="11"/>
      <color rgb="FF000000"/>
      <name val="Calibri"/>
      <family val="2"/>
      <scheme val="minor"/>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0"/>
      </top>
      <bottom style="double">
        <color indexed="0"/>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2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5" fillId="0" borderId="0" applyFont="0" applyFill="0" applyBorder="0" applyAlignment="0" applyProtection="0"/>
    <xf numFmtId="4" fontId="5" fillId="0" borderId="0" applyFont="0" applyFill="0" applyBorder="0" applyAlignment="0" applyProtection="0"/>
    <xf numFmtId="4" fontId="5"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169" fontId="5" fillId="0" borderId="0" applyFont="0" applyFill="0" applyBorder="0" applyAlignment="0" applyProtection="0"/>
    <xf numFmtId="0" fontId="6" fillId="0" borderId="0" applyProtection="0"/>
    <xf numFmtId="0" fontId="6" fillId="0" borderId="0" applyProtection="0"/>
    <xf numFmtId="0" fontId="6" fillId="0" borderId="0" applyProtection="0"/>
    <xf numFmtId="0" fontId="5" fillId="0" borderId="0" applyFont="0" applyFill="0" applyBorder="0" applyAlignment="0" applyProtection="0"/>
    <xf numFmtId="2" fontId="6" fillId="0" borderId="0" applyProtection="0"/>
    <xf numFmtId="2" fontId="6" fillId="0" borderId="0" applyProtection="0"/>
    <xf numFmtId="2" fontId="6" fillId="0" borderId="0" applyProtection="0"/>
    <xf numFmtId="2" fontId="5" fillId="0" borderId="0" applyFont="0" applyFill="0" applyBorder="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8" fillId="0" borderId="0" applyNumberFormat="0" applyFill="0" applyBorder="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9" fillId="0" borderId="0" applyNumberFormat="0" applyFont="0" applyFill="0" applyAlignment="0" applyProtection="0"/>
    <xf numFmtId="0" fontId="10" fillId="0" borderId="0" applyNumberFormat="0" applyFill="0" applyBorder="0" applyAlignment="0" applyProtection="0"/>
    <xf numFmtId="0" fontId="7" fillId="0" borderId="0" applyProtection="0"/>
    <xf numFmtId="0" fontId="7" fillId="0" borderId="0" applyProtection="0"/>
    <xf numFmtId="0" fontId="7" fillId="0" borderId="0" applyProtection="0"/>
    <xf numFmtId="0" fontId="9" fillId="0" borderId="0" applyProtection="0"/>
    <xf numFmtId="0" fontId="9" fillId="0" borderId="0" applyProtection="0"/>
    <xf numFmtId="0" fontId="9" fillId="0" borderId="0" applyProtection="0"/>
    <xf numFmtId="0" fontId="11" fillId="0" borderId="0" applyNumberFormat="0" applyFill="0" applyBorder="0" applyAlignment="0" applyProtection="0">
      <alignment vertical="top"/>
      <protection locked="0"/>
    </xf>
    <xf numFmtId="0" fontId="4" fillId="0" borderId="0"/>
    <xf numFmtId="0" fontId="4" fillId="0" borderId="0"/>
    <xf numFmtId="0" fontId="1"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0" fontId="5" fillId="0" borderId="0" applyFont="0" applyFill="0" applyBorder="0" applyAlignment="0" applyProtection="0"/>
    <xf numFmtId="0" fontId="13" fillId="0" borderId="0" applyNumberFormat="0" applyFill="0" applyBorder="0" applyAlignment="0"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6" fillId="0" borderId="8" applyProtection="0"/>
    <xf numFmtId="0" fontId="5" fillId="0" borderId="9" applyNumberFormat="0" applyFont="0" applyFill="0" applyAlignment="0" applyProtection="0"/>
  </cellStyleXfs>
  <cellXfs count="109">
    <xf numFmtId="0" fontId="0" fillId="0" borderId="0" xfId="0"/>
    <xf numFmtId="0" fontId="0" fillId="0" borderId="0" xfId="0" applyAlignment="1">
      <alignment horizontal="left"/>
    </xf>
    <xf numFmtId="0" fontId="0" fillId="0" borderId="0" xfId="0" applyNumberFormat="1"/>
    <xf numFmtId="0" fontId="2" fillId="0" borderId="0" xfId="0" applyFont="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2" fillId="0" borderId="0" xfId="0" applyFont="1" applyAlignment="1">
      <alignment horizontal="right"/>
    </xf>
    <xf numFmtId="1" fontId="2" fillId="0" borderId="0" xfId="0" applyNumberFormat="1" applyFont="1"/>
    <xf numFmtId="0" fontId="0" fillId="0" borderId="0" xfId="0" applyAlignment="1">
      <alignment horizontal="right"/>
    </xf>
    <xf numFmtId="164" fontId="0" fillId="0" borderId="0" xfId="2" applyNumberFormat="1" applyFont="1"/>
    <xf numFmtId="165" fontId="0" fillId="0" borderId="0" xfId="1" applyNumberFormat="1" applyFont="1"/>
    <xf numFmtId="3" fontId="0" fillId="0" borderId="0" xfId="0" applyNumberFormat="1"/>
    <xf numFmtId="0" fontId="0" fillId="0" borderId="0" xfId="0" applyAlignment="1">
      <alignment horizontal="right" wrapText="1"/>
    </xf>
    <xf numFmtId="166" fontId="0" fillId="0" borderId="0" xfId="2" applyNumberFormat="1" applyFont="1"/>
    <xf numFmtId="0" fontId="0" fillId="0" borderId="6" xfId="0" applyBorder="1" applyAlignment="1">
      <alignment horizontal="right"/>
    </xf>
    <xf numFmtId="0" fontId="0" fillId="0" borderId="6" xfId="0" applyBorder="1"/>
    <xf numFmtId="43" fontId="0" fillId="0" borderId="0" xfId="0" applyNumberFormat="1"/>
    <xf numFmtId="164" fontId="0" fillId="0" borderId="0" xfId="0" applyNumberFormat="1"/>
    <xf numFmtId="167" fontId="0" fillId="0" borderId="0" xfId="2" applyNumberFormat="1" applyFont="1"/>
    <xf numFmtId="6" fontId="0" fillId="0" borderId="0" xfId="0" applyNumberFormat="1" applyFill="1"/>
    <xf numFmtId="9" fontId="0" fillId="0" borderId="0" xfId="3" applyFont="1"/>
    <xf numFmtId="6" fontId="0" fillId="0" borderId="0" xfId="0" applyNumberFormat="1"/>
    <xf numFmtId="0" fontId="0" fillId="0" borderId="0" xfId="0" applyAlignment="1"/>
    <xf numFmtId="6" fontId="0" fillId="0" borderId="6" xfId="0" applyNumberFormat="1" applyBorder="1"/>
    <xf numFmtId="0" fontId="0" fillId="0" borderId="6" xfId="0" applyBorder="1" applyAlignment="1"/>
    <xf numFmtId="8" fontId="0" fillId="0" borderId="0" xfId="0" applyNumberFormat="1" applyAlignment="1">
      <alignment horizontal="right" indent="2"/>
    </xf>
    <xf numFmtId="43" fontId="0" fillId="0" borderId="6" xfId="0" applyNumberFormat="1" applyBorder="1"/>
    <xf numFmtId="0" fontId="0" fillId="0" borderId="2" xfId="0" applyBorder="1" applyAlignment="1">
      <alignment horizontal="center"/>
    </xf>
    <xf numFmtId="1" fontId="0" fillId="0" borderId="2" xfId="0" applyNumberFormat="1" applyBorder="1"/>
    <xf numFmtId="9" fontId="0" fillId="0" borderId="2" xfId="0" applyNumberFormat="1" applyBorder="1"/>
    <xf numFmtId="43" fontId="0" fillId="0" borderId="2" xfId="0" applyNumberFormat="1" applyBorder="1"/>
    <xf numFmtId="0" fontId="0" fillId="0" borderId="0" xfId="0" applyFill="1" applyBorder="1" applyAlignment="1">
      <alignment horizontal="right"/>
    </xf>
    <xf numFmtId="8" fontId="0" fillId="0" borderId="0" xfId="0" applyNumberFormat="1" applyAlignment="1"/>
    <xf numFmtId="165" fontId="0" fillId="0" borderId="0" xfId="0" applyNumberFormat="1"/>
    <xf numFmtId="165" fontId="0" fillId="0" borderId="6" xfId="0" applyNumberFormat="1" applyBorder="1"/>
    <xf numFmtId="0" fontId="0" fillId="0" borderId="0" xfId="0" applyAlignment="1">
      <alignment horizontal="center"/>
    </xf>
    <xf numFmtId="8" fontId="0" fillId="0" borderId="0" xfId="0" applyNumberFormat="1" applyAlignment="1">
      <alignment horizontal="right"/>
    </xf>
    <xf numFmtId="6" fontId="0" fillId="0" borderId="0" xfId="0" applyNumberFormat="1" applyAlignment="1">
      <alignment horizontal="right"/>
    </xf>
    <xf numFmtId="0" fontId="0" fillId="0" borderId="0" xfId="0" applyBorder="1" applyAlignment="1">
      <alignment horizontal="center"/>
    </xf>
    <xf numFmtId="1" fontId="0" fillId="0" borderId="0" xfId="0" applyNumberFormat="1" applyBorder="1"/>
    <xf numFmtId="9" fontId="0" fillId="0" borderId="0" xfId="0" applyNumberFormat="1" applyBorder="1"/>
    <xf numFmtId="43" fontId="0" fillId="0" borderId="0" xfId="0" applyNumberFormat="1" applyBorder="1"/>
    <xf numFmtId="0" fontId="0" fillId="0" borderId="2" xfId="0" applyBorder="1" applyAlignment="1">
      <alignment horizontal="left" indent="7"/>
    </xf>
    <xf numFmtId="43" fontId="0" fillId="0" borderId="2" xfId="0" applyNumberFormat="1" applyBorder="1" applyAlignment="1">
      <alignment horizontal="left" indent="5"/>
    </xf>
    <xf numFmtId="0" fontId="0" fillId="0" borderId="2" xfId="0" applyBorder="1" applyAlignment="1">
      <alignment horizontal="right"/>
    </xf>
    <xf numFmtId="0" fontId="0" fillId="0" borderId="0" xfId="0" applyFont="1" applyFill="1"/>
    <xf numFmtId="10" fontId="0" fillId="0" borderId="2" xfId="0" applyNumberFormat="1" applyFont="1" applyFill="1" applyBorder="1"/>
    <xf numFmtId="9" fontId="0" fillId="0" borderId="2" xfId="0" applyNumberFormat="1" applyFont="1" applyFill="1" applyBorder="1"/>
    <xf numFmtId="0" fontId="0" fillId="0" borderId="0" xfId="0" applyFont="1" applyFill="1" applyAlignment="1">
      <alignment horizontal="right"/>
    </xf>
    <xf numFmtId="165" fontId="1" fillId="0" borderId="2" xfId="1" applyNumberFormat="1" applyFont="1" applyFill="1" applyBorder="1"/>
    <xf numFmtId="43" fontId="0" fillId="0" borderId="0" xfId="1" applyFont="1"/>
    <xf numFmtId="0" fontId="0" fillId="0" borderId="7" xfId="0" applyFont="1" applyFill="1" applyBorder="1" applyAlignment="1">
      <alignment horizontal="right"/>
    </xf>
    <xf numFmtId="165" fontId="2" fillId="0" borderId="2" xfId="1" applyNumberFormat="1" applyFont="1" applyFill="1" applyBorder="1"/>
    <xf numFmtId="43" fontId="1" fillId="0" borderId="0" xfId="1" applyFont="1" applyFill="1"/>
    <xf numFmtId="0" fontId="0" fillId="0" borderId="0" xfId="0" applyFont="1" applyFill="1" applyBorder="1" applyAlignment="1">
      <alignment horizontal="right"/>
    </xf>
    <xf numFmtId="43" fontId="1" fillId="0" borderId="2" xfId="1" applyNumberFormat="1" applyFont="1" applyFill="1" applyBorder="1"/>
    <xf numFmtId="170" fontId="1" fillId="0" borderId="2" xfId="3" applyNumberFormat="1" applyFont="1" applyFill="1" applyBorder="1"/>
    <xf numFmtId="9" fontId="0" fillId="0" borderId="2" xfId="3" applyFont="1" applyBorder="1"/>
    <xf numFmtId="0" fontId="15" fillId="0" borderId="13" xfId="0" applyFont="1" applyBorder="1" applyAlignment="1">
      <alignment horizontal="center"/>
    </xf>
    <xf numFmtId="37" fontId="15" fillId="0" borderId="2" xfId="0" applyNumberFormat="1" applyFont="1" applyBorder="1" applyAlignment="1">
      <alignment horizontal="center"/>
    </xf>
    <xf numFmtId="37" fontId="15" fillId="0" borderId="14" xfId="0" applyNumberFormat="1" applyFont="1" applyBorder="1" applyAlignment="1">
      <alignment horizontal="center"/>
    </xf>
    <xf numFmtId="0" fontId="15" fillId="0" borderId="15" xfId="0" applyFont="1" applyBorder="1" applyAlignment="1">
      <alignment horizontal="center"/>
    </xf>
    <xf numFmtId="37" fontId="15" fillId="0" borderId="5" xfId="0" applyNumberFormat="1" applyFont="1" applyBorder="1" applyAlignment="1">
      <alignment horizontal="center"/>
    </xf>
    <xf numFmtId="37" fontId="15" fillId="0" borderId="16" xfId="0" applyNumberFormat="1" applyFont="1" applyBorder="1" applyAlignment="1">
      <alignment horizontal="center"/>
    </xf>
    <xf numFmtId="0" fontId="15" fillId="0" borderId="0" xfId="0" applyFont="1" applyAlignment="1">
      <alignment vertical="center"/>
    </xf>
    <xf numFmtId="0" fontId="15" fillId="0" borderId="13" xfId="0" applyFont="1" applyBorder="1" applyAlignment="1">
      <alignment horizontal="center" vertical="center"/>
    </xf>
    <xf numFmtId="37" fontId="15" fillId="0" borderId="2" xfId="0" applyNumberFormat="1" applyFont="1" applyBorder="1" applyAlignment="1">
      <alignment vertical="center"/>
    </xf>
    <xf numFmtId="1" fontId="15" fillId="0" borderId="14" xfId="0" applyNumberFormat="1" applyFont="1" applyBorder="1" applyAlignment="1">
      <alignment horizontal="center" vertical="center"/>
    </xf>
    <xf numFmtId="0" fontId="15" fillId="0" borderId="15" xfId="0" applyFont="1" applyBorder="1" applyAlignment="1">
      <alignment horizontal="center" vertical="center"/>
    </xf>
    <xf numFmtId="37" fontId="15" fillId="0" borderId="5" xfId="0" applyNumberFormat="1" applyFont="1" applyBorder="1" applyAlignment="1">
      <alignment vertical="center"/>
    </xf>
    <xf numFmtId="1" fontId="15" fillId="0" borderId="16" xfId="0" applyNumberFormat="1" applyFont="1" applyBorder="1" applyAlignment="1">
      <alignment horizontal="center" vertical="center"/>
    </xf>
    <xf numFmtId="1" fontId="15" fillId="0" borderId="0" xfId="0" applyNumberFormat="1" applyFont="1" applyAlignment="1">
      <alignment vertical="center"/>
    </xf>
    <xf numFmtId="165" fontId="0" fillId="0" borderId="2" xfId="1" applyNumberFormat="1" applyFont="1" applyFill="1" applyBorder="1"/>
    <xf numFmtId="165" fontId="1" fillId="0" borderId="0" xfId="1" applyNumberFormat="1" applyFont="1" applyFill="1"/>
    <xf numFmtId="165" fontId="0" fillId="0" borderId="0" xfId="0" applyNumberFormat="1" applyFont="1" applyFill="1"/>
    <xf numFmtId="0" fontId="4" fillId="0" borderId="0" xfId="52" applyFill="1" applyBorder="1"/>
    <xf numFmtId="1" fontId="2" fillId="0" borderId="0" xfId="52" applyNumberFormat="1" applyFont="1" applyFill="1" applyBorder="1"/>
    <xf numFmtId="0" fontId="2" fillId="0" borderId="0" xfId="52" applyFont="1" applyFill="1" applyBorder="1"/>
    <xf numFmtId="0" fontId="2" fillId="0" borderId="0" xfId="52" applyFont="1" applyFill="1" applyBorder="1" applyAlignment="1">
      <alignment horizontal="right"/>
    </xf>
    <xf numFmtId="43" fontId="0" fillId="0" borderId="0" xfId="1" applyFont="1" applyBorder="1"/>
    <xf numFmtId="0" fontId="0" fillId="0" borderId="0" xfId="0" applyBorder="1" applyAlignment="1">
      <alignment horizontal="right"/>
    </xf>
    <xf numFmtId="165" fontId="0" fillId="0" borderId="0" xfId="0" applyNumberFormat="1" applyBorder="1"/>
    <xf numFmtId="43" fontId="0" fillId="0" borderId="20" xfId="0" applyNumberFormat="1" applyBorder="1" applyAlignment="1">
      <alignment horizontal="left" indent="5"/>
    </xf>
    <xf numFmtId="0" fontId="0" fillId="0" borderId="0" xfId="0" applyFill="1" applyAlignment="1">
      <alignment horizontal="center" vertical="center" wrapText="1"/>
    </xf>
    <xf numFmtId="37"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0" fillId="0" borderId="2" xfId="0" applyBorder="1" applyAlignment="1">
      <alignment horizontal="center"/>
    </xf>
    <xf numFmtId="0" fontId="14" fillId="0" borderId="10"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0" xfId="0" applyFont="1" applyAlignment="1">
      <alignment horizontal="left" vertical="center" wrapText="1"/>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14" fillId="0" borderId="10" xfId="0" applyFont="1" applyFill="1" applyBorder="1" applyAlignment="1">
      <alignment horizontal="center" wrapText="1"/>
    </xf>
    <xf numFmtId="0" fontId="14" fillId="0" borderId="13" xfId="0" applyFont="1" applyFill="1" applyBorder="1" applyAlignment="1">
      <alignment horizontal="center" wrapText="1"/>
    </xf>
    <xf numFmtId="0" fontId="14" fillId="0" borderId="11" xfId="0" applyFont="1" applyBorder="1" applyAlignment="1">
      <alignment horizontal="center" wrapText="1"/>
    </xf>
    <xf numFmtId="0" fontId="14" fillId="0" borderId="2" xfId="0" applyFont="1" applyBorder="1" applyAlignment="1">
      <alignment horizontal="center" wrapText="1"/>
    </xf>
    <xf numFmtId="37" fontId="15" fillId="0" borderId="5" xfId="0" applyNumberFormat="1" applyFont="1" applyBorder="1" applyAlignment="1">
      <alignment horizontal="center" vertical="center"/>
    </xf>
    <xf numFmtId="0" fontId="15" fillId="0" borderId="5" xfId="0" applyFont="1" applyBorder="1" applyAlignment="1">
      <alignment horizontal="center" vertical="center"/>
    </xf>
    <xf numFmtId="0" fontId="14" fillId="0" borderId="12" xfId="0" applyFont="1" applyBorder="1" applyAlignment="1">
      <alignment horizontal="center" wrapText="1"/>
    </xf>
    <xf numFmtId="0" fontId="14" fillId="0" borderId="14" xfId="0" applyFont="1" applyBorder="1" applyAlignment="1">
      <alignment horizontal="center" wrapText="1"/>
    </xf>
  </cellXfs>
  <cellStyles count="124">
    <cellStyle name="Comma" xfId="1" builtinId="3"/>
    <cellStyle name="Comma 2" xfId="4"/>
    <cellStyle name="Comma 3" xfId="5"/>
    <cellStyle name="Comma 4" xfId="6"/>
    <cellStyle name="Comma 5" xfId="7"/>
    <cellStyle name="Comma 6" xfId="8"/>
    <cellStyle name="Comma 7" xfId="9"/>
    <cellStyle name="Comma 7 2" xfId="10"/>
    <cellStyle name="Comma0" xfId="11"/>
    <cellStyle name="Comma0 2" xfId="12"/>
    <cellStyle name="Comma0 3" xfId="13"/>
    <cellStyle name="Comma0 4" xfId="14"/>
    <cellStyle name="Currency" xfId="2" builtinId="4"/>
    <cellStyle name="Currency 2" xfId="15"/>
    <cellStyle name="Currency 3" xfId="16"/>
    <cellStyle name="Currency0" xfId="17"/>
    <cellStyle name="Currency0 2" xfId="18"/>
    <cellStyle name="Currency0 3" xfId="19"/>
    <cellStyle name="Currency0 4" xfId="20"/>
    <cellStyle name="Date" xfId="21"/>
    <cellStyle name="Date 2" xfId="22"/>
    <cellStyle name="Date 3" xfId="23"/>
    <cellStyle name="Date 4" xfId="24"/>
    <cellStyle name="Fixed" xfId="25"/>
    <cellStyle name="Fixed 2" xfId="26"/>
    <cellStyle name="Fixed 3" xfId="27"/>
    <cellStyle name="Fixed 4" xfId="28"/>
    <cellStyle name="Heading 1 2" xfId="29"/>
    <cellStyle name="Heading 1 3" xfId="30"/>
    <cellStyle name="Heading 1 4" xfId="31"/>
    <cellStyle name="Heading 1 5" xfId="32"/>
    <cellStyle name="Heading 1 6" xfId="33"/>
    <cellStyle name="Heading 2 2" xfId="34"/>
    <cellStyle name="Heading 2 3" xfId="35"/>
    <cellStyle name="Heading 2 4" xfId="36"/>
    <cellStyle name="Heading 2 5" xfId="37"/>
    <cellStyle name="Heading 2 6" xfId="38"/>
    <cellStyle name="HEADING1" xfId="39"/>
    <cellStyle name="HEADING1 2" xfId="40"/>
    <cellStyle name="HEADING1 3" xfId="41"/>
    <cellStyle name="HEADING2" xfId="42"/>
    <cellStyle name="HEADING2 2" xfId="43"/>
    <cellStyle name="HEADING2 3" xfId="44"/>
    <cellStyle name="Hyperlink 2" xfId="45"/>
    <cellStyle name="Normal" xfId="0" builtinId="0"/>
    <cellStyle name="Normal 10" xfId="46"/>
    <cellStyle name="Normal 10 2" xfId="47"/>
    <cellStyle name="Normal 12" xfId="48"/>
    <cellStyle name="Normal 2" xfId="49"/>
    <cellStyle name="Normal 2 2" xfId="50"/>
    <cellStyle name="Normal 3" xfId="51"/>
    <cellStyle name="Normal 4" xfId="52"/>
    <cellStyle name="Normal 4 2" xfId="53"/>
    <cellStyle name="Normal 5" xfId="54"/>
    <cellStyle name="Normal 6" xfId="55"/>
    <cellStyle name="Normal 7" xfId="56"/>
    <cellStyle name="Normal 7 2" xfId="57"/>
    <cellStyle name="Normal 8" xfId="58"/>
    <cellStyle name="Normal 9" xfId="59"/>
    <cellStyle name="Normal 9 2" xfId="60"/>
    <cellStyle name="Percent" xfId="3" builtinId="5"/>
    <cellStyle name="Percent 2" xfId="61"/>
    <cellStyle name="Percent 3" xfId="62"/>
    <cellStyle name="Percent 4" xfId="63"/>
    <cellStyle name="Percent 5" xfId="64"/>
    <cellStyle name="Percent 5 2" xfId="65"/>
    <cellStyle name="Percent 6" xfId="66"/>
    <cellStyle name="Title 2" xfId="67"/>
    <cellStyle name="Total 2" xfId="68"/>
    <cellStyle name="Total 2 2" xfId="69"/>
    <cellStyle name="Total 2 2 2" xfId="70"/>
    <cellStyle name="Total 2 2 2 2" xfId="71"/>
    <cellStyle name="Total 2 2 3" xfId="72"/>
    <cellStyle name="Total 2 3" xfId="73"/>
    <cellStyle name="Total 2 3 2" xfId="74"/>
    <cellStyle name="Total 2 4" xfId="75"/>
    <cellStyle name="Total 2 4 2" xfId="76"/>
    <cellStyle name="Total 2 5" xfId="77"/>
    <cellStyle name="Total 2 5 2" xfId="78"/>
    <cellStyle name="Total 2 6" xfId="79"/>
    <cellStyle name="Total 2 6 2" xfId="80"/>
    <cellStyle name="Total 2 7" xfId="81"/>
    <cellStyle name="Total 2 7 2" xfId="82"/>
    <cellStyle name="Total 2 8" xfId="83"/>
    <cellStyle name="Total 2 8 2" xfId="84"/>
    <cellStyle name="Total 3" xfId="85"/>
    <cellStyle name="Total 3 2" xfId="86"/>
    <cellStyle name="Total 3 2 2" xfId="87"/>
    <cellStyle name="Total 3 2 2 2" xfId="88"/>
    <cellStyle name="Total 3 2 3" xfId="89"/>
    <cellStyle name="Total 3 3" xfId="90"/>
    <cellStyle name="Total 3 3 2" xfId="91"/>
    <cellStyle name="Total 3 4" xfId="92"/>
    <cellStyle name="Total 3 4 2" xfId="93"/>
    <cellStyle name="Total 3 5" xfId="94"/>
    <cellStyle name="Total 3 5 2" xfId="95"/>
    <cellStyle name="Total 3 6" xfId="96"/>
    <cellStyle name="Total 3 6 2" xfId="97"/>
    <cellStyle name="Total 3 7" xfId="98"/>
    <cellStyle name="Total 3 7 2" xfId="99"/>
    <cellStyle name="Total 3 8" xfId="100"/>
    <cellStyle name="Total 3 8 2" xfId="101"/>
    <cellStyle name="Total 4" xfId="102"/>
    <cellStyle name="Total 4 2" xfId="103"/>
    <cellStyle name="Total 4 2 2" xfId="104"/>
    <cellStyle name="Total 4 2 2 2" xfId="105"/>
    <cellStyle name="Total 4 2 3" xfId="106"/>
    <cellStyle name="Total 4 3" xfId="107"/>
    <cellStyle name="Total 4 3 2" xfId="108"/>
    <cellStyle name="Total 4 4" xfId="109"/>
    <cellStyle name="Total 4 4 2" xfId="110"/>
    <cellStyle name="Total 4 5" xfId="111"/>
    <cellStyle name="Total 4 5 2" xfId="112"/>
    <cellStyle name="Total 4 6" xfId="113"/>
    <cellStyle name="Total 4 6 2" xfId="114"/>
    <cellStyle name="Total 4 7" xfId="115"/>
    <cellStyle name="Total 4 7 2" xfId="116"/>
    <cellStyle name="Total 4 8" xfId="117"/>
    <cellStyle name="Total 4 8 2" xfId="118"/>
    <cellStyle name="Total 5" xfId="119"/>
    <cellStyle name="Total 5 2" xfId="120"/>
    <cellStyle name="Total 5 2 2" xfId="121"/>
    <cellStyle name="Total 5 3" xfId="122"/>
    <cellStyle name="Total 6" xfId="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10</xdr:col>
      <xdr:colOff>450374</xdr:colOff>
      <xdr:row>47</xdr:row>
      <xdr:rowOff>99060</xdr:rowOff>
    </xdr:to>
    <xdr:grpSp>
      <xdr:nvGrpSpPr>
        <xdr:cNvPr id="2" name="Group 1"/>
        <xdr:cNvGrpSpPr/>
      </xdr:nvGrpSpPr>
      <xdr:grpSpPr>
        <a:xfrm>
          <a:off x="152400" y="152400"/>
          <a:ext cx="6393974" cy="8900160"/>
          <a:chOff x="0" y="0"/>
          <a:chExt cx="6393974" cy="8900160"/>
        </a:xfrm>
      </xdr:grpSpPr>
      <xdr:sp macro="" textlink="">
        <xdr:nvSpPr>
          <xdr:cNvPr id="3" name="TextBox 2"/>
          <xdr:cNvSpPr txBox="1"/>
        </xdr:nvSpPr>
        <xdr:spPr>
          <a:xfrm>
            <a:off x="0" y="0"/>
            <a:ext cx="6393974" cy="890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pPr algn="ctr"/>
            <a:endParaRPr lang="en-US" sz="2400" b="1">
              <a:effectLst/>
              <a:latin typeface="Microsoft YaHei" panose="020B0503020204020204" pitchFamily="34" charset="-122"/>
              <a:ea typeface="Microsoft YaHei" panose="020B0503020204020204" pitchFamily="34" charset="-122"/>
            </a:endParaRPr>
          </a:p>
          <a:p>
            <a:pPr algn="ct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Appendix G-4</a:t>
            </a:r>
          </a:p>
          <a:p>
            <a:pPr marL="0" marR="0" algn="ctr">
              <a:spcBef>
                <a:spcPts val="0"/>
              </a:spcBef>
              <a:spcAft>
                <a:spcPts val="0"/>
              </a:spcAft>
            </a:pPr>
            <a:r>
              <a:rPr lang="en-US" sz="1100" b="1" cap="all">
                <a:effectLst/>
                <a:latin typeface="+mn-lt"/>
                <a:ea typeface="Times New Roman"/>
                <a:cs typeface="Arial"/>
              </a:rPr>
              <a:t> </a:t>
            </a:r>
            <a:endParaRPr lang="en-US" sz="1100" b="1" cap="all">
              <a:effectLst/>
              <a:latin typeface="Times New Roman"/>
              <a:ea typeface="Times New Roman"/>
              <a:cs typeface="Arial"/>
            </a:endParaRPr>
          </a:p>
          <a:p>
            <a:pPr marL="0" marR="0" algn="ctr">
              <a:spcBef>
                <a:spcPts val="0"/>
              </a:spcBef>
              <a:spcAft>
                <a:spcPts val="1200"/>
              </a:spcAft>
            </a:pPr>
            <a:r>
              <a:rPr lang="en-US" sz="2400" b="1">
                <a:effectLst/>
                <a:latin typeface="+mn-lt"/>
                <a:ea typeface="Times New Roman"/>
                <a:cs typeface="Arial"/>
              </a:rPr>
              <a:t>FutureFuel Cost Calculations</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endParaRPr lang="en-US" sz="1200">
              <a:effectLst/>
              <a:latin typeface="Times New Roman" panose="02020603050405020304" pitchFamily="18" charset="0"/>
              <a:ea typeface="Calibri"/>
              <a:cs typeface="Times New Roman" panose="02020603050405020304" pitchFamily="18" charset="0"/>
            </a:endParaRP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Division of Environmental Quality</a:t>
            </a: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Office of Air Quality</a:t>
            </a:r>
          </a:p>
          <a:p>
            <a:endParaRPr lang="en-US" sz="1100"/>
          </a:p>
        </xdr:txBody>
      </xdr:sp>
      <xdr:pic>
        <xdr:nvPicPr>
          <xdr:cNvPr id="4" name="Picture 3" descr="EQ_Vertical_colo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775"/>
          <a:stretch/>
        </xdr:blipFill>
        <xdr:spPr bwMode="auto">
          <a:xfrm>
            <a:off x="1428750" y="1254125"/>
            <a:ext cx="3648868" cy="17907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323849</xdr:colOff>
      <xdr:row>0</xdr:row>
      <xdr:rowOff>123821</xdr:rowOff>
    </xdr:from>
    <xdr:to>
      <xdr:col>9</xdr:col>
      <xdr:colOff>600074</xdr:colOff>
      <xdr:row>60</xdr:row>
      <xdr:rowOff>190499</xdr:rowOff>
    </xdr:to>
    <xdr:sp macro="" textlink="">
      <xdr:nvSpPr>
        <xdr:cNvPr id="2" name="TextBox 1"/>
        <xdr:cNvSpPr txBox="1"/>
      </xdr:nvSpPr>
      <xdr:spPr>
        <a:xfrm>
          <a:off x="323849" y="123821"/>
          <a:ext cx="5762625" cy="115062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a:t>
          </a:r>
          <a:r>
            <a:rPr lang="en-US" sz="1100" baseline="0"/>
            <a:t> DEQ's request , FutureFuel provided emission reduction and cost-effectiveness based on the maximum monthly emission rate during the baseline period. After consultation with EPA and other states, DEQ is instead calculating emission reductions and cost-effectiveness based on annual average emission rates for the three coil-fired boilers .</a:t>
          </a:r>
        </a:p>
        <a:p>
          <a:endParaRPr lang="en-US" sz="1100" baseline="0"/>
        </a:p>
        <a:p>
          <a:pPr eaLnBrk="1" fontAlgn="auto" latinLnBrk="0" hangingPunct="1"/>
          <a:r>
            <a:rPr lang="en-US" sz="1100" b="0">
              <a:solidFill>
                <a:schemeClr val="dk1"/>
              </a:solidFill>
              <a:effectLst/>
              <a:latin typeface="+mn-lt"/>
              <a:ea typeface="+mn-ea"/>
              <a:cs typeface="+mn-cs"/>
            </a:rPr>
            <a:t>FutureFuel used a 7% interest rate to annualize total</a:t>
          </a:r>
          <a:r>
            <a:rPr lang="en-US" sz="1100" b="0" baseline="0">
              <a:solidFill>
                <a:schemeClr val="dk1"/>
              </a:solidFill>
              <a:effectLst/>
              <a:latin typeface="+mn-lt"/>
              <a:ea typeface="+mn-ea"/>
              <a:cs typeface="+mn-cs"/>
            </a:rPr>
            <a:t> capital investment estimates for the control strategies evaluated. </a:t>
          </a:r>
          <a:r>
            <a:rPr lang="en-US" sz="1100">
              <a:solidFill>
                <a:schemeClr val="dk1"/>
              </a:solidFill>
              <a:effectLst/>
              <a:latin typeface="+mn-lt"/>
              <a:ea typeface="+mn-ea"/>
              <a:cs typeface="+mn-cs"/>
            </a:rPr>
            <a:t>This interest rate is consistent with past cost analyses for regional haze planning and the social cost of rulemaking specified in the EPA Control Cost Manual. However, EPA Region 6 has indicated that DEQ should evaluate costs annualized based on the bank prime rate consistent with EPA Control Cost Manual guidance on private investments. The EPA Control Cost Manual recommends that assessments of private cost “should be prepared using firm-specific nominal interest rates if possible, or the bank prime rate if firm-specific interest rates cannot be estimated or verified.” Therefore, DEQ has calculated the annualized capital costs using the information provided by FutureFuel and a 3.25% interest rate (bank prime rate on July 16, 2020). </a:t>
          </a:r>
          <a:endParaRPr lang="en-US">
            <a:effectLst/>
          </a:endParaRPr>
        </a:p>
        <a:p>
          <a:endParaRPr lang="en-US" sz="1100" baseline="0"/>
        </a:p>
        <a:p>
          <a:r>
            <a:rPr lang="en-US" sz="1100" baseline="0"/>
            <a:t>DEQ also made the following additional revisions for consistency with the EPA control cost manual and similar technology assessments made during Regional Haze Planning Period 1.</a:t>
          </a:r>
        </a:p>
        <a:p>
          <a:endParaRPr lang="en-US" sz="1100" baseline="0"/>
        </a:p>
        <a:p>
          <a:pPr lvl="1" algn="l"/>
          <a:r>
            <a:rPr lang="en-US" sz="1100">
              <a:solidFill>
                <a:schemeClr val="dk1"/>
              </a:solidFill>
              <a:effectLst/>
              <a:latin typeface="+mn-lt"/>
              <a:ea typeface="+mn-ea"/>
              <a:cs typeface="+mn-cs"/>
            </a:rPr>
            <a:t>1)  </a:t>
          </a:r>
        </a:p>
        <a:p>
          <a:pPr lvl="1" algn="l"/>
          <a:r>
            <a:rPr lang="en-US" sz="1100">
              <a:solidFill>
                <a:schemeClr val="dk1"/>
              </a:solidFill>
              <a:effectLst/>
              <a:latin typeface="+mn-lt"/>
              <a:ea typeface="+mn-ea"/>
              <a:cs typeface="+mn-cs"/>
            </a:rPr>
            <a:t>The EPA Control Cost Manual suggests use of 20% of total capital investment for contingency for study level cost estimates and 5 – 15% for “mature control technologies.” Future fuel used 30% of capital costs (excluding energy and non-environmental capital costs that are part of total capital investment) in their cost calculations without providing an explanation of why this change was appropriate due</a:t>
          </a:r>
          <a:r>
            <a:rPr lang="en-US" sz="1100" baseline="0">
              <a:solidFill>
                <a:schemeClr val="dk1"/>
              </a:solidFill>
              <a:effectLst/>
              <a:latin typeface="+mn-lt"/>
              <a:ea typeface="+mn-ea"/>
              <a:cs typeface="+mn-cs"/>
            </a:rPr>
            <a:t> to site-specific considerations. </a:t>
          </a:r>
          <a:endParaRPr lang="en-US" sz="1050">
            <a:solidFill>
              <a:schemeClr val="dk1"/>
            </a:solidFill>
            <a:effectLst/>
            <a:latin typeface="+mn-lt"/>
            <a:ea typeface="+mn-ea"/>
            <a:cs typeface="+mn-cs"/>
          </a:endParaRPr>
        </a:p>
        <a:p>
          <a:pPr algn="l"/>
          <a:r>
            <a:rPr lang="en-US" sz="1100">
              <a:solidFill>
                <a:schemeClr val="dk1"/>
              </a:solidFill>
              <a:effectLst/>
              <a:latin typeface="+mn-lt"/>
              <a:ea typeface="+mn-ea"/>
              <a:cs typeface="+mn-cs"/>
            </a:rPr>
            <a:t>		Control Cost Manual Chapter 2, Page 30.</a:t>
          </a:r>
        </a:p>
        <a:p>
          <a:pPr algn="l"/>
          <a:endParaRPr lang="en-US" sz="1100">
            <a:solidFill>
              <a:schemeClr val="dk1"/>
            </a:solidFill>
            <a:effectLst/>
            <a:latin typeface="+mn-lt"/>
            <a:ea typeface="+mn-ea"/>
            <a:cs typeface="+mn-cs"/>
          </a:endParaRPr>
        </a:p>
        <a:p>
          <a:pPr lvl="1" algn="l"/>
          <a:r>
            <a:rPr lang="en-US" sz="1100">
              <a:solidFill>
                <a:schemeClr val="dk1"/>
              </a:solidFill>
              <a:effectLst/>
              <a:latin typeface="+mn-lt"/>
              <a:ea typeface="+mn-ea"/>
              <a:cs typeface="+mn-cs"/>
            </a:rPr>
            <a:t>2)</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AFUDC and</a:t>
          </a:r>
          <a:r>
            <a:rPr lang="en-US" sz="1100" baseline="0">
              <a:solidFill>
                <a:schemeClr val="dk1"/>
              </a:solidFill>
              <a:effectLst/>
              <a:latin typeface="+mn-lt"/>
              <a:ea typeface="+mn-ea"/>
              <a:cs typeface="+mn-cs"/>
            </a:rPr>
            <a:t> Owner's costs, which are not valid costs under the EPA Control Cost Manual overnight estimation methodology have been removed. EPA has noted this in several actions on Planning Period I SIPs and FIPs.  </a:t>
          </a:r>
        </a:p>
        <a:p>
          <a:pPr lvl="1" algn="l"/>
          <a:r>
            <a:rPr lang="en-US" sz="1100" baseline="0">
              <a:solidFill>
                <a:schemeClr val="dk1"/>
              </a:solidFill>
              <a:effectLst/>
              <a:latin typeface="+mn-lt"/>
              <a:ea typeface="+mn-ea"/>
              <a:cs typeface="+mn-cs"/>
            </a:rPr>
            <a:t>		Control Cost Manual Chapter 2, Page 11 and 17</a:t>
          </a:r>
        </a:p>
        <a:p>
          <a:pPr lvl="1" algn="l"/>
          <a:r>
            <a:rPr lang="en-US" sz="1100">
              <a:solidFill>
                <a:schemeClr val="dk1"/>
              </a:solidFill>
              <a:effectLst/>
              <a:latin typeface="+mn-lt"/>
              <a:ea typeface="+mn-ea"/>
              <a:cs typeface="+mn-cs"/>
            </a:rPr>
            <a:t>3)</a:t>
          </a:r>
          <a:endParaRPr lang="en-US">
            <a:effectLst/>
          </a:endParaRPr>
        </a:p>
        <a:p>
          <a:pPr lvl="1" algn="l"/>
          <a:r>
            <a:rPr lang="en-US" sz="1100">
              <a:solidFill>
                <a:schemeClr val="dk1"/>
              </a:solidFill>
              <a:effectLst/>
              <a:latin typeface="+mn-lt"/>
              <a:ea typeface="+mn-ea"/>
              <a:cs typeface="+mn-cs"/>
            </a:rPr>
            <a:t>All</a:t>
          </a:r>
          <a:r>
            <a:rPr lang="en-US" sz="1100" baseline="0">
              <a:solidFill>
                <a:schemeClr val="dk1"/>
              </a:solidFill>
              <a:effectLst/>
              <a:latin typeface="+mn-lt"/>
              <a:ea typeface="+mn-ea"/>
              <a:cs typeface="+mn-cs"/>
            </a:rPr>
            <a:t> line-item costs estimated using total capital investment were revised to reflect changes in contingency  and removal of disallowed costs using formulas provided by the EPA control cost manual</a:t>
          </a:r>
        </a:p>
        <a:p>
          <a:pPr lvl="1" algn="l"/>
          <a:r>
            <a:rPr lang="en-US" sz="1100" baseline="0">
              <a:solidFill>
                <a:schemeClr val="dk1"/>
              </a:solidFill>
              <a:effectLst/>
              <a:latin typeface="+mn-lt"/>
              <a:ea typeface="+mn-ea"/>
              <a:cs typeface="+mn-cs"/>
            </a:rPr>
            <a:t>	Administrative costs = 2% of capital investment</a:t>
          </a:r>
        </a:p>
        <a:p>
          <a:pPr lvl="1" algn="l"/>
          <a:r>
            <a:rPr lang="en-US" sz="1100" baseline="0">
              <a:solidFill>
                <a:schemeClr val="dk1"/>
              </a:solidFill>
              <a:effectLst/>
              <a:latin typeface="+mn-lt"/>
              <a:ea typeface="+mn-ea"/>
              <a:cs typeface="+mn-cs"/>
            </a:rPr>
            <a:t>	Property tax =1 % of capital investment</a:t>
          </a:r>
        </a:p>
        <a:p>
          <a:pPr lvl="1" algn="l"/>
          <a:r>
            <a:rPr lang="en-US" sz="1100" baseline="0">
              <a:solidFill>
                <a:schemeClr val="dk1"/>
              </a:solidFill>
              <a:effectLst/>
              <a:latin typeface="+mn-lt"/>
              <a:ea typeface="+mn-ea"/>
              <a:cs typeface="+mn-cs"/>
            </a:rPr>
            <a:t>	Insurance = 1% of capital investment</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Control Cost Manual Chapter 2, Page 35</a:t>
          </a:r>
          <a:endParaRPr lang="en-US" sz="1100" baseline="0">
            <a:solidFill>
              <a:schemeClr val="dk1"/>
            </a:solidFill>
            <a:effectLst/>
            <a:latin typeface="+mn-lt"/>
            <a:ea typeface="+mn-ea"/>
            <a:cs typeface="+mn-cs"/>
          </a:endParaRPr>
        </a:p>
        <a:p>
          <a:pPr lvl="1" algn="l"/>
          <a:r>
            <a:rPr lang="en-US" sz="1100" baseline="0">
              <a:solidFill>
                <a:schemeClr val="dk1"/>
              </a:solidFill>
              <a:effectLst/>
              <a:latin typeface="+mn-lt"/>
              <a:ea typeface="+mn-ea"/>
              <a:cs typeface="+mn-cs"/>
            </a:rPr>
            <a:t>4) </a:t>
          </a:r>
        </a:p>
        <a:p>
          <a:pPr lvl="1" algn="l"/>
          <a:r>
            <a:rPr lang="en-US" sz="1100" baseline="0">
              <a:solidFill>
                <a:schemeClr val="dk1"/>
              </a:solidFill>
              <a:effectLst/>
              <a:latin typeface="+mn-lt"/>
              <a:ea typeface="+mn-ea"/>
              <a:cs typeface="+mn-cs"/>
            </a:rPr>
            <a:t>Equipment Life for control technologies has been revised to be consistent with EPA control cost manual and similar technology assessments made during Regional Haze Planning Period 1.</a:t>
          </a:r>
          <a:endParaRPr lang="en-US" sz="1100">
            <a:solidFill>
              <a:schemeClr val="dk1"/>
            </a:solidFill>
            <a:effectLst/>
            <a:latin typeface="+mn-lt"/>
            <a:ea typeface="+mn-ea"/>
            <a:cs typeface="+mn-cs"/>
          </a:endParaRPr>
        </a:p>
        <a:p>
          <a:r>
            <a:rPr lang="en-US" sz="1100" baseline="0"/>
            <a:t>	Wet FGD: 30 years</a:t>
          </a:r>
        </a:p>
        <a:p>
          <a:r>
            <a:rPr lang="en-US" sz="1100" baseline="0"/>
            <a:t>	Dry FGD: 30 years</a:t>
          </a:r>
        </a:p>
        <a:p>
          <a:r>
            <a:rPr lang="en-US" sz="1100" baseline="0"/>
            <a:t>	DSI: 30 years</a:t>
          </a:r>
        </a:p>
        <a:p>
          <a:r>
            <a:rPr lang="en-US" sz="1100" baseline="0"/>
            <a:t>	SCR: 30 years</a:t>
          </a:r>
        </a:p>
        <a:p>
          <a:r>
            <a:rPr lang="en-US" sz="1100" baseline="0"/>
            <a:t>	SNCR: 20 years</a:t>
          </a:r>
        </a:p>
        <a:p>
          <a:pPr lvl="1"/>
          <a:r>
            <a:rPr lang="en-US" sz="1100" baseline="0"/>
            <a:t>5)</a:t>
          </a:r>
        </a:p>
        <a:p>
          <a:pPr lvl="1"/>
          <a:r>
            <a:rPr lang="en-US" sz="1100" baseline="0"/>
            <a:t>Cost of fuel for natural gas scenarios revised to reflect the incremental change in cost of using natural gas compared to coals currently in use for boilers based on EIA data. In addition, the cost associated with electrical, maintenance, operating and support labor, permitting and compliance were removed because these do not represent cost increases above the current cost of using coal. See Email from Philip Antici on July 23, 2020.</a:t>
          </a:r>
        </a:p>
        <a:p>
          <a:pPr lvl="1"/>
          <a:endParaRPr lang="en-US" sz="1100" baseline="0"/>
        </a:p>
        <a:p>
          <a:pPr lvl="1"/>
          <a:r>
            <a:rPr lang="en-US" sz="1100" baseline="0"/>
            <a:t>6)</a:t>
          </a:r>
        </a:p>
        <a:p>
          <a:pPr lvl="1"/>
          <a:r>
            <a:rPr lang="en-US" sz="1100" baseline="0"/>
            <a:t>Costs for each lower sulfur content coal scenario were revised to reflect the incremental cost of the scenario above current costs for coal.  The tax associated with the 1.5% sulfur content coal control scenario was adjusted to remove cost of transportation from the taxable amount. In addition, the control efficiency was adjusted to reflect emission reductions resulting from switching coals without making changes to emissions from waste streams in the baseline. This change reflects a mass-balance estimation of SO2 emitted from burning coal and the average sulfur content of the coals burned during the baseline instead of the permitted sulfur content limit for coal. (See email from Philip Antici on 7/23/ 20 and FFCC Coal and Waste SO2 mmBtu Baseline_9_8_2020 spreadsheet.</a:t>
          </a:r>
        </a:p>
        <a:p>
          <a:endParaRPr lang="en-US" sz="1100" baseline="0"/>
        </a:p>
        <a:p>
          <a:endParaRPr lang="en-US" sz="1100" baseline="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475193</xdr:colOff>
      <xdr:row>17</xdr:row>
      <xdr:rowOff>2116</xdr:rowOff>
    </xdr:from>
    <xdr:to>
      <xdr:col>12</xdr:col>
      <xdr:colOff>599598</xdr:colOff>
      <xdr:row>27</xdr:row>
      <xdr:rowOff>21166</xdr:rowOff>
    </xdr:to>
    <xdr:pic>
      <xdr:nvPicPr>
        <xdr:cNvPr id="2" name="gmail-m_3203161933218738240gmail-m_-7786032467899058228gmail-m_-2266537767561907457_x0000_i1025" descr="https://lh5.googleusercontent.com/1s-180byV1ApcqPOF6WyBnsc3fJysbeuWJ7gQvULVD_gsUz9gYZJWVg_UBVDXp9Tn7mmqgpoJ56JTZFSCfpvQRMejkN042nHacjSj8iGHIcnD0WphAroavO7Y7P0C7_mJ-OaOI_u"/>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6" y="2965449"/>
          <a:ext cx="4368322" cy="21886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eece\AppData\Local\Microsoft\Windows\INetCache\Content.Outlook\K59W2WBC\Future%20Fuel%20Control%20Strategy%20Calc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FCC Boiler replacement x 3"/>
      <sheetName val="FFCC Boiler retrofit to gas x 3"/>
      <sheetName val="FFCC Boiler replacement x 1"/>
      <sheetName val="FFCC Boiler retrofit to gas x1"/>
      <sheetName val="FFCC Wet Scrubber"/>
      <sheetName val="FFCC SDA"/>
      <sheetName val="FFCC DSI"/>
      <sheetName val="FFC LSC"/>
      <sheetName val="FFCC SCR"/>
      <sheetName val="FFCC SNCR "/>
    </sheetNames>
    <sheetDataSet>
      <sheetData sheetId="0">
        <row r="6">
          <cell r="M6">
            <v>2171</v>
          </cell>
          <cell r="N6">
            <v>246.66666666666666</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0" workbookViewId="0"/>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37"/>
  <sheetViews>
    <sheetView zoomScale="90" zoomScaleNormal="90" workbookViewId="0">
      <selection activeCell="F28" sqref="F28"/>
    </sheetView>
  </sheetViews>
  <sheetFormatPr defaultColWidth="9.140625" defaultRowHeight="15" x14ac:dyDescent="0.25"/>
  <cols>
    <col min="1" max="1" width="12.5703125" bestFit="1" customWidth="1"/>
    <col min="2" max="2" width="46" customWidth="1"/>
    <col min="3" max="6" width="12.5703125" bestFit="1" customWidth="1"/>
    <col min="9" max="9" width="14.140625" customWidth="1"/>
    <col min="10" max="10" width="11.140625" customWidth="1"/>
    <col min="11" max="11" width="10.7109375" customWidth="1"/>
  </cols>
  <sheetData>
    <row r="1" spans="1:15" ht="77.25" customHeight="1" x14ac:dyDescent="0.25">
      <c r="A1" s="95" t="s">
        <v>112</v>
      </c>
      <c r="B1" s="95"/>
      <c r="C1" s="95"/>
      <c r="D1" s="95"/>
      <c r="E1" s="95"/>
      <c r="F1" s="95"/>
      <c r="G1" s="95"/>
      <c r="H1" s="95"/>
      <c r="I1" s="95"/>
      <c r="J1" s="95"/>
      <c r="K1" s="95"/>
      <c r="L1" s="95"/>
      <c r="M1" s="95"/>
      <c r="N1" s="95"/>
    </row>
    <row r="3" spans="1:15" ht="15.75" thickBot="1" x14ac:dyDescent="0.3">
      <c r="H3" t="s">
        <v>102</v>
      </c>
    </row>
    <row r="4" spans="1:15" x14ac:dyDescent="0.25">
      <c r="C4" s="90" t="s">
        <v>104</v>
      </c>
      <c r="D4" s="90"/>
      <c r="E4" s="90"/>
      <c r="H4" s="91" t="s">
        <v>96</v>
      </c>
      <c r="I4" s="93" t="s">
        <v>97</v>
      </c>
      <c r="J4" s="93" t="s">
        <v>98</v>
      </c>
      <c r="K4" s="93" t="s">
        <v>99</v>
      </c>
      <c r="L4" s="93" t="s">
        <v>100</v>
      </c>
      <c r="M4" s="93"/>
      <c r="N4" s="96" t="s">
        <v>101</v>
      </c>
      <c r="O4" s="68"/>
    </row>
    <row r="5" spans="1:15" ht="20.25" customHeight="1" x14ac:dyDescent="0.25">
      <c r="B5" s="49"/>
      <c r="C5" s="50">
        <v>2.5000000000000001E-2</v>
      </c>
      <c r="D5" s="51">
        <v>0.02</v>
      </c>
      <c r="E5" s="50">
        <v>1.4999999999999999E-2</v>
      </c>
      <c r="H5" s="92"/>
      <c r="I5" s="94"/>
      <c r="J5" s="94"/>
      <c r="K5" s="94"/>
      <c r="L5" s="94"/>
      <c r="M5" s="94"/>
      <c r="N5" s="97"/>
      <c r="O5" s="68"/>
    </row>
    <row r="6" spans="1:15" x14ac:dyDescent="0.25">
      <c r="B6" s="52" t="s">
        <v>105</v>
      </c>
      <c r="C6" s="53">
        <v>684000</v>
      </c>
      <c r="D6" s="53">
        <v>1187500</v>
      </c>
      <c r="E6" s="53">
        <v>2519500</v>
      </c>
      <c r="H6" s="69">
        <v>2017</v>
      </c>
      <c r="I6" s="70">
        <v>310960.93784872931</v>
      </c>
      <c r="J6" s="70">
        <v>311682.24812014552</v>
      </c>
      <c r="K6" s="70">
        <v>262666.46416834614</v>
      </c>
      <c r="L6" s="88">
        <v>885309.65013722098</v>
      </c>
      <c r="M6" s="89"/>
      <c r="N6" s="71">
        <v>2061.8085700725587</v>
      </c>
      <c r="O6" s="68"/>
    </row>
    <row r="7" spans="1:15" x14ac:dyDescent="0.25">
      <c r="B7" s="52" t="s">
        <v>106</v>
      </c>
      <c r="C7" s="53">
        <f>C6*0.08</f>
        <v>54720</v>
      </c>
      <c r="D7" s="53">
        <f>D6*0.08</f>
        <v>95000</v>
      </c>
      <c r="E7" s="53">
        <v>160000</v>
      </c>
      <c r="H7" s="69">
        <v>2018</v>
      </c>
      <c r="I7" s="70">
        <v>254561.72213745999</v>
      </c>
      <c r="J7" s="70">
        <v>274153.93341358483</v>
      </c>
      <c r="K7" s="70">
        <v>221517.35336032978</v>
      </c>
      <c r="L7" s="88">
        <v>750233.00891137461</v>
      </c>
      <c r="M7" s="89"/>
      <c r="N7" s="71">
        <v>2269.6525613845133</v>
      </c>
      <c r="O7" s="68"/>
    </row>
    <row r="8" spans="1:15" ht="15.75" thickBot="1" x14ac:dyDescent="0.3">
      <c r="B8" s="52" t="s">
        <v>107</v>
      </c>
      <c r="C8" s="53">
        <f>SUM(C6:C7)</f>
        <v>738720</v>
      </c>
      <c r="D8" s="53">
        <f t="shared" ref="D8:E8" si="0">SUM(D6:D7)</f>
        <v>1282500</v>
      </c>
      <c r="E8" s="53">
        <f t="shared" si="0"/>
        <v>2679500</v>
      </c>
      <c r="F8" s="54"/>
      <c r="H8" s="72">
        <v>2019</v>
      </c>
      <c r="I8" s="73">
        <v>245435.60003544323</v>
      </c>
      <c r="J8" s="73">
        <v>298760.90426588367</v>
      </c>
      <c r="K8" s="73">
        <v>282516.59086506633</v>
      </c>
      <c r="L8" s="105">
        <v>826713.09516639332</v>
      </c>
      <c r="M8" s="106"/>
      <c r="N8" s="74">
        <v>1943.580117024213</v>
      </c>
      <c r="O8" s="75"/>
    </row>
    <row r="9" spans="1:15" x14ac:dyDescent="0.25">
      <c r="B9" s="52" t="s">
        <v>89</v>
      </c>
      <c r="C9" s="53">
        <f>'[1]Read Me'!M6</f>
        <v>2171</v>
      </c>
      <c r="D9" s="53">
        <f>'[1]Read Me'!M6</f>
        <v>2171</v>
      </c>
      <c r="E9" s="53">
        <f>'[1]Read Me'!M6</f>
        <v>2171</v>
      </c>
    </row>
    <row r="10" spans="1:15" x14ac:dyDescent="0.25">
      <c r="B10" s="52" t="s">
        <v>90</v>
      </c>
      <c r="C10" s="53">
        <f>AVERAGE(N6:N8)</f>
        <v>2091.6804161604282</v>
      </c>
      <c r="D10" s="76">
        <f>AVERAGE(N6:N8)</f>
        <v>2091.6804161604282</v>
      </c>
      <c r="E10" s="53">
        <f>AVERAGE(N6:N8)</f>
        <v>2091.6804161604282</v>
      </c>
    </row>
    <row r="11" spans="1:15" ht="15.75" thickBot="1" x14ac:dyDescent="0.3">
      <c r="B11" s="52" t="s">
        <v>88</v>
      </c>
      <c r="C11" s="60">
        <f>(2.787%-2.5%)/2.787%</f>
        <v>0.10297811266594896</v>
      </c>
      <c r="D11" s="60">
        <f>(2.787%-2%)/2.787%</f>
        <v>0.28238249013275918</v>
      </c>
      <c r="E11" s="60">
        <f>(2.787%-1.5%)/2.787%</f>
        <v>0.46178686759956944</v>
      </c>
      <c r="H11" t="s">
        <v>103</v>
      </c>
    </row>
    <row r="12" spans="1:15" x14ac:dyDescent="0.25">
      <c r="B12" s="52" t="s">
        <v>65</v>
      </c>
      <c r="C12" s="59">
        <f>C11*C10</f>
        <v>215.39730155652759</v>
      </c>
      <c r="D12" s="59">
        <f>D10*D11</f>
        <v>590.65392447730778</v>
      </c>
      <c r="E12" s="59">
        <f>E10*E11</f>
        <v>965.91054739808794</v>
      </c>
      <c r="H12" s="101" t="s">
        <v>92</v>
      </c>
      <c r="I12" s="103" t="s">
        <v>93</v>
      </c>
      <c r="J12" s="103" t="s">
        <v>94</v>
      </c>
      <c r="K12" s="107" t="s">
        <v>95</v>
      </c>
    </row>
    <row r="13" spans="1:15" x14ac:dyDescent="0.25">
      <c r="B13" s="52" t="s">
        <v>108</v>
      </c>
      <c r="C13" s="61">
        <f>C12/C9</f>
        <v>9.9215707764406996E-2</v>
      </c>
      <c r="D13" s="61">
        <f>D12/D9</f>
        <v>0.27206537285919291</v>
      </c>
      <c r="E13" s="61">
        <f>E12/E9</f>
        <v>0.4449150379539788</v>
      </c>
      <c r="G13" s="24"/>
      <c r="H13" s="102"/>
      <c r="I13" s="104"/>
      <c r="J13" s="104"/>
      <c r="K13" s="108"/>
    </row>
    <row r="14" spans="1:15" x14ac:dyDescent="0.25">
      <c r="B14" s="55" t="s">
        <v>66</v>
      </c>
      <c r="C14" s="56">
        <f>C8/C12</f>
        <v>3429.5694266445335</v>
      </c>
      <c r="D14" s="56">
        <f>D8/D12</f>
        <v>2171.3222360029745</v>
      </c>
      <c r="E14" s="56">
        <f>E8/E12</f>
        <v>2774.0664052358438</v>
      </c>
      <c r="F14" s="20"/>
      <c r="G14" s="20"/>
      <c r="H14" s="62">
        <v>2017</v>
      </c>
      <c r="I14" s="63">
        <v>885309.65013722098</v>
      </c>
      <c r="J14" s="63">
        <v>116684.55245299998</v>
      </c>
      <c r="K14" s="64">
        <v>1001994.202590221</v>
      </c>
    </row>
    <row r="15" spans="1:15" x14ac:dyDescent="0.25">
      <c r="B15" s="52" t="s">
        <v>79</v>
      </c>
      <c r="C15" s="57">
        <v>0</v>
      </c>
      <c r="D15" s="77">
        <f>(D8-C8)/(D12-C12)</f>
        <v>1449.0883485747206</v>
      </c>
      <c r="E15" s="78">
        <f>(E8-C8)/(E12-C12)</f>
        <v>2585.9370380915502</v>
      </c>
      <c r="F15" s="20"/>
      <c r="H15" s="62">
        <v>2018</v>
      </c>
      <c r="I15" s="63">
        <v>750233.00891137461</v>
      </c>
      <c r="J15" s="63">
        <v>138494.36275700002</v>
      </c>
      <c r="K15" s="64">
        <v>888727.37166837463</v>
      </c>
    </row>
    <row r="16" spans="1:15" ht="15.75" thickBot="1" x14ac:dyDescent="0.3">
      <c r="B16" s="58" t="s">
        <v>80</v>
      </c>
      <c r="C16" s="57">
        <v>0</v>
      </c>
      <c r="D16" s="77">
        <v>0</v>
      </c>
      <c r="E16" s="78">
        <f>(E8-D8)/(E12-D12)</f>
        <v>3722.7857276083801</v>
      </c>
      <c r="F16" s="20"/>
      <c r="H16" s="65">
        <v>2019</v>
      </c>
      <c r="I16" s="66">
        <v>826713.09516639332</v>
      </c>
      <c r="J16" s="66">
        <v>113378.515847</v>
      </c>
      <c r="K16" s="67">
        <v>940091.61101339338</v>
      </c>
    </row>
    <row r="19" spans="1:13" ht="36" customHeight="1" x14ac:dyDescent="0.25">
      <c r="C19" s="98" t="s">
        <v>111</v>
      </c>
      <c r="D19" s="99"/>
      <c r="E19" s="100"/>
    </row>
    <row r="20" spans="1:13" ht="14.45" x14ac:dyDescent="0.3">
      <c r="B20" s="6" t="s">
        <v>110</v>
      </c>
      <c r="C20" s="50">
        <v>2.5000000000000001E-2</v>
      </c>
      <c r="D20" s="51">
        <v>0.02</v>
      </c>
      <c r="E20" s="50">
        <v>1.4999999999999999E-2</v>
      </c>
    </row>
    <row r="21" spans="1:13" ht="14.45" x14ac:dyDescent="0.3">
      <c r="A21" t="s">
        <v>91</v>
      </c>
      <c r="B21" s="34">
        <f>C9*2000/AVERAGE(K14:K16)</f>
        <v>4.6015046375264221</v>
      </c>
      <c r="C21" s="34">
        <f t="shared" ref="C21:E22" si="1">$B21-$B21*C$13</f>
        <v>4.1449630981330374</v>
      </c>
      <c r="D21" s="34">
        <f t="shared" si="1"/>
        <v>3.3495945626044907</v>
      </c>
      <c r="E21" s="34">
        <f t="shared" si="1"/>
        <v>2.5542260270759445</v>
      </c>
    </row>
    <row r="22" spans="1:13" ht="14.45" x14ac:dyDescent="0.3">
      <c r="A22" s="4" t="s">
        <v>113</v>
      </c>
      <c r="B22" s="34">
        <f>C10*2000/AVERAGE(L6:M8)</f>
        <v>5.0969857519791884</v>
      </c>
      <c r="C22" s="34">
        <f t="shared" si="1"/>
        <v>4.5912847031314747</v>
      </c>
      <c r="D22" s="34">
        <f t="shared" si="1"/>
        <v>3.710272422908977</v>
      </c>
      <c r="E22" s="34">
        <f t="shared" si="1"/>
        <v>2.8292601426864787</v>
      </c>
      <c r="F22" s="4"/>
    </row>
    <row r="23" spans="1:13" ht="14.45" x14ac:dyDescent="0.3">
      <c r="A23" s="83"/>
      <c r="B23" s="4"/>
      <c r="C23" s="4"/>
      <c r="D23" s="4"/>
      <c r="E23" s="4"/>
      <c r="F23" s="4"/>
    </row>
    <row r="24" spans="1:13" ht="14.45" x14ac:dyDescent="0.3">
      <c r="A24" s="4"/>
      <c r="B24" s="4"/>
      <c r="C24" s="4"/>
      <c r="D24" s="4"/>
      <c r="E24" s="4"/>
      <c r="F24" s="4"/>
    </row>
    <row r="29" spans="1:13" ht="14.45" x14ac:dyDescent="0.3">
      <c r="G29" s="4"/>
      <c r="H29" s="4"/>
      <c r="I29" s="4"/>
      <c r="J29" s="4"/>
      <c r="K29" s="4"/>
      <c r="L29" s="4"/>
      <c r="M29" s="4"/>
    </row>
    <row r="30" spans="1:13" ht="14.45" x14ac:dyDescent="0.3">
      <c r="G30" s="4"/>
      <c r="H30" s="81" t="s">
        <v>109</v>
      </c>
      <c r="I30" s="79"/>
      <c r="J30" s="79"/>
      <c r="K30" s="79"/>
      <c r="L30" s="4"/>
      <c r="M30" s="4"/>
    </row>
    <row r="31" spans="1:13" ht="14.45" x14ac:dyDescent="0.3">
      <c r="G31" s="4"/>
      <c r="H31" s="79"/>
      <c r="I31" s="79" t="s">
        <v>4</v>
      </c>
      <c r="J31" s="79" t="s">
        <v>5</v>
      </c>
      <c r="K31" s="79" t="s">
        <v>6</v>
      </c>
      <c r="L31" s="4"/>
      <c r="M31" s="4"/>
    </row>
    <row r="32" spans="1:13" ht="14.45" x14ac:dyDescent="0.3">
      <c r="G32" s="4"/>
      <c r="H32" s="79">
        <v>2017</v>
      </c>
      <c r="I32" s="79">
        <v>2139</v>
      </c>
      <c r="J32" s="79">
        <v>241</v>
      </c>
      <c r="K32" s="79" t="s">
        <v>7</v>
      </c>
      <c r="L32" s="4"/>
      <c r="M32" s="4"/>
    </row>
    <row r="33" spans="7:13" ht="14.45" x14ac:dyDescent="0.3">
      <c r="G33" s="4"/>
      <c r="H33" s="79">
        <v>2018</v>
      </c>
      <c r="I33" s="79">
        <v>2319</v>
      </c>
      <c r="J33" s="79">
        <v>268</v>
      </c>
      <c r="K33" s="79" t="s">
        <v>7</v>
      </c>
      <c r="L33" s="4"/>
      <c r="M33" s="4"/>
    </row>
    <row r="34" spans="7:13" ht="14.45" x14ac:dyDescent="0.3">
      <c r="G34" s="4"/>
      <c r="H34" s="79">
        <v>2019</v>
      </c>
      <c r="I34" s="79">
        <v>2055</v>
      </c>
      <c r="J34" s="79">
        <v>231</v>
      </c>
      <c r="K34" s="79" t="s">
        <v>8</v>
      </c>
      <c r="L34" s="4"/>
      <c r="M34" s="4"/>
    </row>
    <row r="35" spans="7:13" ht="14.45" x14ac:dyDescent="0.3">
      <c r="G35" s="4"/>
      <c r="H35" s="82" t="s">
        <v>9</v>
      </c>
      <c r="I35" s="80">
        <v>2171</v>
      </c>
      <c r="J35" s="80">
        <v>246.66666666666666</v>
      </c>
      <c r="K35" s="79"/>
      <c r="L35" s="4"/>
      <c r="M35" s="4"/>
    </row>
    <row r="36" spans="7:13" x14ac:dyDescent="0.25">
      <c r="G36" s="4"/>
      <c r="H36" s="4"/>
      <c r="I36" s="4"/>
      <c r="J36" s="4"/>
      <c r="K36" s="4"/>
      <c r="L36" s="4"/>
      <c r="M36" s="4"/>
    </row>
    <row r="37" spans="7:13" x14ac:dyDescent="0.25">
      <c r="G37" s="4"/>
      <c r="H37" s="4"/>
      <c r="I37" s="4"/>
      <c r="J37" s="4"/>
      <c r="K37" s="4"/>
      <c r="L37" s="4"/>
      <c r="M37" s="4"/>
    </row>
  </sheetData>
  <mergeCells count="16">
    <mergeCell ref="A1:N1"/>
    <mergeCell ref="L4:M5"/>
    <mergeCell ref="N4:N5"/>
    <mergeCell ref="C19:E19"/>
    <mergeCell ref="H12:H13"/>
    <mergeCell ref="I12:I13"/>
    <mergeCell ref="J12:J13"/>
    <mergeCell ref="L8:M8"/>
    <mergeCell ref="K12:K13"/>
    <mergeCell ref="L6:M6"/>
    <mergeCell ref="L7:M7"/>
    <mergeCell ref="C4:E4"/>
    <mergeCell ref="H4:H5"/>
    <mergeCell ref="I4:I5"/>
    <mergeCell ref="J4:J5"/>
    <mergeCell ref="K4:K5"/>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9"/>
  <sheetViews>
    <sheetView topLeftCell="A17" workbookViewId="0">
      <selection activeCell="A32" sqref="A32:C39"/>
    </sheetView>
  </sheetViews>
  <sheetFormatPr defaultColWidth="9.140625" defaultRowHeight="15" x14ac:dyDescent="0.25"/>
  <cols>
    <col min="1" max="1" width="58.140625" bestFit="1" customWidth="1"/>
    <col min="2" max="2" width="17.28515625" bestFit="1" customWidth="1"/>
    <col min="3" max="3" width="24.7109375" customWidth="1"/>
    <col min="4" max="4" width="10.5703125" bestFit="1" customWidth="1"/>
    <col min="5" max="5" width="15.28515625" bestFit="1" customWidth="1"/>
    <col min="8" max="8" width="11.7109375" bestFit="1" customWidth="1"/>
    <col min="9" max="9" width="13.7109375" bestFit="1" customWidth="1"/>
  </cols>
  <sheetData>
    <row r="1" spans="1:12" x14ac:dyDescent="0.25">
      <c r="H1" s="3"/>
    </row>
    <row r="2" spans="1:12" x14ac:dyDescent="0.25">
      <c r="A2" t="s">
        <v>12</v>
      </c>
      <c r="B2" t="s">
        <v>13</v>
      </c>
      <c r="C2" t="s">
        <v>14</v>
      </c>
    </row>
    <row r="3" spans="1:12" ht="14.45" customHeight="1" x14ac:dyDescent="0.25">
      <c r="A3" s="12" t="s">
        <v>15</v>
      </c>
      <c r="B3" s="13">
        <v>38525286</v>
      </c>
    </row>
    <row r="4" spans="1:12" x14ac:dyDescent="0.25">
      <c r="A4" s="12" t="s">
        <v>17</v>
      </c>
      <c r="B4" s="14">
        <f>B3*0.2</f>
        <v>7705057.2000000002</v>
      </c>
      <c r="H4" s="15"/>
    </row>
    <row r="5" spans="1:12" x14ac:dyDescent="0.25">
      <c r="A5" s="12" t="s">
        <v>24</v>
      </c>
      <c r="B5" s="14">
        <f>SUM(B3:B4)</f>
        <v>46230343.200000003</v>
      </c>
      <c r="L5" s="15"/>
    </row>
    <row r="6" spans="1:12" ht="30" x14ac:dyDescent="0.25">
      <c r="A6" s="12" t="s">
        <v>27</v>
      </c>
      <c r="B6">
        <f>(0.0325*(1+0.0325)^30)/(((1+0.0325)^30)-1)</f>
        <v>5.2681716941736761E-2</v>
      </c>
      <c r="C6" s="16" t="s">
        <v>86</v>
      </c>
      <c r="H6" s="17"/>
    </row>
    <row r="8" spans="1:12" x14ac:dyDescent="0.25">
      <c r="A8" s="18"/>
      <c r="B8" s="19"/>
      <c r="C8" s="19"/>
    </row>
    <row r="9" spans="1:12" x14ac:dyDescent="0.25">
      <c r="A9" s="12" t="s">
        <v>29</v>
      </c>
      <c r="B9" s="20">
        <f>B5*B6</f>
        <v>2435493.8545817449</v>
      </c>
      <c r="H9" s="15"/>
    </row>
    <row r="10" spans="1:12" x14ac:dyDescent="0.25">
      <c r="A10" t="s">
        <v>32</v>
      </c>
      <c r="L10" s="15"/>
    </row>
    <row r="11" spans="1:12" x14ac:dyDescent="0.25">
      <c r="A11" s="12" t="s">
        <v>81</v>
      </c>
      <c r="B11" s="21">
        <v>239320</v>
      </c>
      <c r="H11" s="22"/>
    </row>
    <row r="12" spans="1:12" ht="14.45" customHeight="1" x14ac:dyDescent="0.25">
      <c r="A12" s="12" t="s">
        <v>82</v>
      </c>
      <c r="B12" s="23">
        <v>216051</v>
      </c>
      <c r="C12" s="87"/>
    </row>
    <row r="13" spans="1:12" x14ac:dyDescent="0.25">
      <c r="A13" s="12" t="s">
        <v>83</v>
      </c>
      <c r="B13" s="23">
        <v>66018</v>
      </c>
      <c r="C13" s="87"/>
    </row>
    <row r="14" spans="1:12" x14ac:dyDescent="0.25">
      <c r="A14" s="12" t="s">
        <v>84</v>
      </c>
      <c r="B14" s="23">
        <v>19664</v>
      </c>
      <c r="C14" s="87"/>
    </row>
    <row r="15" spans="1:12" x14ac:dyDescent="0.25">
      <c r="A15" s="12" t="s">
        <v>44</v>
      </c>
      <c r="B15" s="21">
        <f>SUM(B11:B14)</f>
        <v>541053</v>
      </c>
    </row>
    <row r="16" spans="1:12" x14ac:dyDescent="0.25">
      <c r="A16" s="1" t="s">
        <v>46</v>
      </c>
      <c r="I16" s="15"/>
    </row>
    <row r="17" spans="1:9" x14ac:dyDescent="0.25">
      <c r="A17" s="12" t="s">
        <v>47</v>
      </c>
      <c r="B17" s="41">
        <f>0.6*B11</f>
        <v>143592</v>
      </c>
    </row>
    <row r="18" spans="1:9" x14ac:dyDescent="0.25">
      <c r="A18" s="12" t="s">
        <v>53</v>
      </c>
      <c r="B18" s="37">
        <f>0.02*B5</f>
        <v>924606.86400000006</v>
      </c>
    </row>
    <row r="19" spans="1:9" x14ac:dyDescent="0.25">
      <c r="A19" s="12" t="s">
        <v>54</v>
      </c>
      <c r="B19" s="37">
        <f>0.01*B5</f>
        <v>462303.43200000003</v>
      </c>
      <c r="I19" s="13"/>
    </row>
    <row r="20" spans="1:9" x14ac:dyDescent="0.25">
      <c r="A20" s="18" t="s">
        <v>56</v>
      </c>
      <c r="B20" s="38">
        <f>0.01*B5</f>
        <v>462303.43200000003</v>
      </c>
    </row>
    <row r="21" spans="1:9" x14ac:dyDescent="0.25">
      <c r="A21" s="12" t="s">
        <v>57</v>
      </c>
      <c r="B21" s="25">
        <f>SUM(B17:B20)</f>
        <v>1992805.7280000001</v>
      </c>
      <c r="I21" s="13"/>
    </row>
    <row r="22" spans="1:9" ht="14.45" x14ac:dyDescent="0.3">
      <c r="A22" s="12" t="s">
        <v>59</v>
      </c>
      <c r="B22" s="20">
        <f>SUM(B9,B15,B21)</f>
        <v>4969352.5825817455</v>
      </c>
    </row>
    <row r="23" spans="1:9" ht="14.45" x14ac:dyDescent="0.3">
      <c r="I23" s="21"/>
    </row>
    <row r="24" spans="1:9" ht="14.45" x14ac:dyDescent="0.3">
      <c r="B24" s="31" t="s">
        <v>60</v>
      </c>
      <c r="C24" s="42"/>
      <c r="D24" s="42"/>
    </row>
    <row r="25" spans="1:9" ht="14.45" x14ac:dyDescent="0.3">
      <c r="A25" s="12" t="s">
        <v>62</v>
      </c>
      <c r="B25" s="32">
        <f>'[1]Read Me'!N6</f>
        <v>246.66666666666666</v>
      </c>
      <c r="C25" s="43"/>
      <c r="D25" s="4"/>
    </row>
    <row r="26" spans="1:9" ht="14.45" x14ac:dyDescent="0.3">
      <c r="A26" s="12" t="s">
        <v>64</v>
      </c>
      <c r="B26" s="33">
        <v>0.8</v>
      </c>
      <c r="C26" s="44"/>
      <c r="D26" s="4"/>
    </row>
    <row r="27" spans="1:9" ht="14.45" x14ac:dyDescent="0.3">
      <c r="A27" s="12" t="s">
        <v>65</v>
      </c>
      <c r="B27" s="48">
        <f>B25*B26</f>
        <v>197.33333333333334</v>
      </c>
      <c r="C27" s="4"/>
      <c r="D27" s="4"/>
    </row>
    <row r="28" spans="1:9" ht="14.45" x14ac:dyDescent="0.3">
      <c r="A28" s="12" t="s">
        <v>66</v>
      </c>
      <c r="B28" s="47">
        <f>B22/B27</f>
        <v>25182.529979299383</v>
      </c>
      <c r="C28" s="45"/>
      <c r="D28" s="45"/>
    </row>
    <row r="32" spans="1:9" ht="14.45" x14ac:dyDescent="0.3">
      <c r="A32" s="35"/>
      <c r="B32" s="4"/>
      <c r="C32" s="4"/>
    </row>
    <row r="33" spans="1:3" ht="14.45" x14ac:dyDescent="0.3">
      <c r="A33" s="35"/>
      <c r="B33" s="4"/>
      <c r="C33" s="4"/>
    </row>
    <row r="34" spans="1:3" ht="14.45" x14ac:dyDescent="0.3">
      <c r="A34" s="84"/>
      <c r="B34" s="4"/>
      <c r="C34" s="4"/>
    </row>
    <row r="35" spans="1:3" ht="14.45" x14ac:dyDescent="0.3">
      <c r="A35" s="4"/>
      <c r="B35" s="4"/>
      <c r="C35" s="4"/>
    </row>
    <row r="36" spans="1:3" ht="14.45" x14ac:dyDescent="0.3">
      <c r="A36" s="84"/>
      <c r="B36" s="45"/>
      <c r="C36" s="4"/>
    </row>
    <row r="37" spans="1:3" ht="14.45" x14ac:dyDescent="0.3">
      <c r="A37" s="84"/>
      <c r="B37" s="45"/>
      <c r="C37" s="4"/>
    </row>
    <row r="38" spans="1:3" ht="14.45" x14ac:dyDescent="0.3">
      <c r="A38" s="4"/>
      <c r="B38" s="42"/>
      <c r="C38" s="4"/>
    </row>
    <row r="39" spans="1:3" ht="14.45" x14ac:dyDescent="0.3">
      <c r="A39" s="84"/>
      <c r="B39" s="45"/>
      <c r="C39" s="4"/>
    </row>
  </sheetData>
  <mergeCells count="1">
    <mergeCell ref="C12:C14"/>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9"/>
  <sheetViews>
    <sheetView topLeftCell="A16" workbookViewId="0">
      <selection activeCell="A32" sqref="A32:C39"/>
    </sheetView>
  </sheetViews>
  <sheetFormatPr defaultColWidth="9.140625" defaultRowHeight="15" x14ac:dyDescent="0.25"/>
  <cols>
    <col min="1" max="1" width="58.140625" bestFit="1" customWidth="1"/>
    <col min="2" max="2" width="17.28515625" bestFit="1" customWidth="1"/>
    <col min="3" max="3" width="24.7109375" customWidth="1"/>
    <col min="4" max="4" width="10.5703125" bestFit="1" customWidth="1"/>
    <col min="5" max="5" width="15.28515625" bestFit="1" customWidth="1"/>
    <col min="8" max="8" width="11.7109375" bestFit="1" customWidth="1"/>
    <col min="9" max="9" width="13.7109375" bestFit="1" customWidth="1"/>
  </cols>
  <sheetData>
    <row r="1" spans="1:12" x14ac:dyDescent="0.25">
      <c r="H1" s="3"/>
    </row>
    <row r="2" spans="1:12" x14ac:dyDescent="0.25">
      <c r="A2" t="s">
        <v>12</v>
      </c>
      <c r="B2" t="s">
        <v>13</v>
      </c>
      <c r="C2" t="s">
        <v>14</v>
      </c>
    </row>
    <row r="3" spans="1:12" ht="14.45" customHeight="1" x14ac:dyDescent="0.25">
      <c r="A3" s="12" t="s">
        <v>15</v>
      </c>
      <c r="B3" s="13">
        <v>21400466</v>
      </c>
    </row>
    <row r="4" spans="1:12" x14ac:dyDescent="0.25">
      <c r="A4" s="12" t="s">
        <v>17</v>
      </c>
      <c r="B4" s="14">
        <f>B3*0.2</f>
        <v>4280093.2</v>
      </c>
      <c r="H4" s="15"/>
    </row>
    <row r="5" spans="1:12" x14ac:dyDescent="0.25">
      <c r="A5" s="12" t="s">
        <v>24</v>
      </c>
      <c r="B5" s="14">
        <f>SUM(B3:B4)</f>
        <v>25680559.199999999</v>
      </c>
      <c r="L5" s="15"/>
    </row>
    <row r="6" spans="1:12" ht="30" x14ac:dyDescent="0.25">
      <c r="A6" s="12" t="s">
        <v>27</v>
      </c>
      <c r="B6">
        <f>(0.0325*(1+0.0325)^20)/(((1+0.0325)^20)-1)</f>
        <v>6.8778883857226317E-2</v>
      </c>
      <c r="C6" s="16" t="s">
        <v>87</v>
      </c>
      <c r="H6" s="17"/>
    </row>
    <row r="8" spans="1:12" x14ac:dyDescent="0.25">
      <c r="A8" s="18"/>
      <c r="B8" s="19"/>
      <c r="C8" s="19"/>
    </row>
    <row r="9" spans="1:12" x14ac:dyDescent="0.25">
      <c r="A9" s="12" t="s">
        <v>29</v>
      </c>
      <c r="B9" s="20">
        <f>B5*B6</f>
        <v>1766280.1986054247</v>
      </c>
      <c r="H9" s="15"/>
    </row>
    <row r="10" spans="1:12" x14ac:dyDescent="0.25">
      <c r="A10" t="s">
        <v>32</v>
      </c>
      <c r="L10" s="15"/>
    </row>
    <row r="11" spans="1:12" x14ac:dyDescent="0.25">
      <c r="A11" s="12" t="s">
        <v>81</v>
      </c>
      <c r="B11" s="21">
        <v>219462</v>
      </c>
      <c r="H11" s="22"/>
    </row>
    <row r="12" spans="1:12" ht="14.45" customHeight="1" x14ac:dyDescent="0.25">
      <c r="A12" s="12" t="s">
        <v>82</v>
      </c>
      <c r="B12" s="23">
        <v>189948</v>
      </c>
      <c r="C12" s="87"/>
    </row>
    <row r="13" spans="1:12" x14ac:dyDescent="0.25">
      <c r="A13" s="12" t="s">
        <v>83</v>
      </c>
      <c r="B13" s="23">
        <v>2845</v>
      </c>
      <c r="C13" s="87"/>
    </row>
    <row r="14" spans="1:12" x14ac:dyDescent="0.25">
      <c r="A14" s="12" t="s">
        <v>85</v>
      </c>
      <c r="B14" s="23">
        <v>1440</v>
      </c>
      <c r="C14" s="87"/>
    </row>
    <row r="15" spans="1:12" x14ac:dyDescent="0.25">
      <c r="A15" s="12" t="s">
        <v>44</v>
      </c>
      <c r="B15" s="21">
        <f>SUM(B11:B14)</f>
        <v>413695</v>
      </c>
    </row>
    <row r="16" spans="1:12" x14ac:dyDescent="0.25">
      <c r="A16" s="1" t="s">
        <v>46</v>
      </c>
      <c r="I16" s="15"/>
    </row>
    <row r="17" spans="1:9" x14ac:dyDescent="0.25">
      <c r="A17" s="12"/>
      <c r="B17" s="41"/>
    </row>
    <row r="18" spans="1:9" x14ac:dyDescent="0.25">
      <c r="A18" s="12" t="s">
        <v>53</v>
      </c>
      <c r="B18" s="37">
        <f>0.03*B11</f>
        <v>6583.86</v>
      </c>
    </row>
    <row r="19" spans="1:9" x14ac:dyDescent="0.25">
      <c r="A19" s="12"/>
      <c r="B19" s="37"/>
      <c r="I19" s="13"/>
    </row>
    <row r="20" spans="1:9" x14ac:dyDescent="0.25">
      <c r="A20" s="18"/>
      <c r="B20" s="38"/>
    </row>
    <row r="21" spans="1:9" ht="14.45" x14ac:dyDescent="0.3">
      <c r="A21" s="12" t="s">
        <v>57</v>
      </c>
      <c r="B21" s="25">
        <f>SUM(B17:B20)</f>
        <v>6583.86</v>
      </c>
      <c r="I21" s="13"/>
    </row>
    <row r="22" spans="1:9" ht="14.45" x14ac:dyDescent="0.3">
      <c r="A22" s="12" t="s">
        <v>59</v>
      </c>
      <c r="B22" s="20">
        <f>SUM(B9,B15,B21)</f>
        <v>2186559.0586054246</v>
      </c>
    </row>
    <row r="23" spans="1:9" ht="14.45" x14ac:dyDescent="0.3">
      <c r="I23" s="21"/>
    </row>
    <row r="24" spans="1:9" ht="14.45" x14ac:dyDescent="0.3">
      <c r="B24" s="31" t="s">
        <v>60</v>
      </c>
      <c r="C24" s="42"/>
      <c r="D24" s="42"/>
    </row>
    <row r="25" spans="1:9" ht="14.45" x14ac:dyDescent="0.3">
      <c r="A25" s="12" t="s">
        <v>62</v>
      </c>
      <c r="B25" s="32">
        <f>'[1]Read Me'!N6</f>
        <v>246.66666666666666</v>
      </c>
      <c r="C25" s="43"/>
      <c r="D25" s="4"/>
    </row>
    <row r="26" spans="1:9" ht="14.45" x14ac:dyDescent="0.3">
      <c r="A26" s="12" t="s">
        <v>64</v>
      </c>
      <c r="B26" s="33">
        <v>0.4</v>
      </c>
      <c r="C26" s="44"/>
      <c r="D26" s="4"/>
    </row>
    <row r="27" spans="1:9" ht="14.45" x14ac:dyDescent="0.3">
      <c r="A27" s="12" t="s">
        <v>65</v>
      </c>
      <c r="B27" s="48">
        <f>B25*B26</f>
        <v>98.666666666666671</v>
      </c>
      <c r="C27" s="4"/>
      <c r="D27" s="4"/>
    </row>
    <row r="28" spans="1:9" ht="14.45" x14ac:dyDescent="0.3">
      <c r="A28" s="12" t="s">
        <v>66</v>
      </c>
      <c r="B28" s="47">
        <f>B22/B27</f>
        <v>22161.071539919842</v>
      </c>
      <c r="C28" s="45"/>
      <c r="D28" s="45"/>
    </row>
    <row r="32" spans="1:9" ht="14.45" x14ac:dyDescent="0.3">
      <c r="A32" s="35"/>
      <c r="B32" s="4"/>
      <c r="C32" s="4"/>
    </row>
    <row r="33" spans="1:3" ht="14.45" x14ac:dyDescent="0.3">
      <c r="A33" s="35"/>
      <c r="B33" s="4"/>
      <c r="C33" s="4"/>
    </row>
    <row r="34" spans="1:3" ht="14.45" x14ac:dyDescent="0.3">
      <c r="A34" s="84"/>
      <c r="B34" s="4"/>
      <c r="C34" s="4"/>
    </row>
    <row r="35" spans="1:3" ht="14.45" x14ac:dyDescent="0.3">
      <c r="A35" s="4"/>
      <c r="B35" s="4"/>
      <c r="C35" s="4"/>
    </row>
    <row r="36" spans="1:3" ht="14.45" x14ac:dyDescent="0.3">
      <c r="A36" s="84"/>
      <c r="B36" s="45"/>
      <c r="C36" s="4"/>
    </row>
    <row r="37" spans="1:3" ht="14.45" x14ac:dyDescent="0.3">
      <c r="A37" s="84"/>
      <c r="B37" s="45"/>
      <c r="C37" s="4"/>
    </row>
    <row r="38" spans="1:3" ht="14.45" x14ac:dyDescent="0.3">
      <c r="A38" s="4"/>
      <c r="B38" s="42"/>
      <c r="C38" s="4"/>
    </row>
    <row r="39" spans="1:3" ht="14.45" x14ac:dyDescent="0.3">
      <c r="A39" s="84"/>
      <c r="B39" s="45"/>
      <c r="C39" s="4"/>
    </row>
  </sheetData>
  <mergeCells count="1">
    <mergeCell ref="C12:C14"/>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38" sqref="B38"/>
    </sheetView>
  </sheetViews>
  <sheetFormatPr defaultRowHeight="15" x14ac:dyDescent="0.25"/>
  <cols>
    <col min="2" max="2" width="17.28515625" bestFit="1" customWidth="1"/>
    <col min="3" max="3" width="41" customWidth="1"/>
    <col min="5" max="5" width="37.28515625" bestFit="1" customWidth="1"/>
    <col min="6" max="6" width="37" customWidth="1"/>
    <col min="7" max="7" width="37.28515625" bestFit="1" customWidth="1"/>
    <col min="8" max="8" width="37" customWidth="1"/>
    <col min="9" max="9" width="37.28515625" bestFit="1" customWidth="1"/>
    <col min="10" max="10" width="37" customWidth="1"/>
    <col min="11" max="11" width="37.28515625" bestFit="1" customWidth="1"/>
    <col min="12" max="12" width="37" customWidth="1"/>
    <col min="13" max="13" width="37.28515625" customWidth="1"/>
    <col min="14" max="14" width="37" customWidth="1"/>
    <col min="15" max="15" width="37.28515625" bestFit="1" customWidth="1"/>
    <col min="16" max="16" width="37" customWidth="1"/>
    <col min="17" max="17" width="37.28515625" bestFit="1" customWidth="1"/>
    <col min="18" max="18" width="37" customWidth="1"/>
    <col min="19" max="19" width="52.28515625" bestFit="1" customWidth="1"/>
    <col min="20" max="20" width="37" customWidth="1"/>
    <col min="21" max="21" width="52.7109375" bestFit="1" customWidth="1"/>
    <col min="22" max="22" width="37" customWidth="1"/>
  </cols>
  <sheetData>
    <row r="1" spans="1:6" ht="18" x14ac:dyDescent="0.35">
      <c r="A1" t="s">
        <v>0</v>
      </c>
      <c r="B1" t="s">
        <v>1</v>
      </c>
      <c r="C1" t="s">
        <v>2</v>
      </c>
    </row>
    <row r="2" spans="1:6" x14ac:dyDescent="0.25">
      <c r="A2">
        <v>1998</v>
      </c>
      <c r="B2">
        <v>389.5</v>
      </c>
      <c r="C2">
        <f>$B$23/B2</f>
        <v>1.5596919127086009</v>
      </c>
    </row>
    <row r="3" spans="1:6" x14ac:dyDescent="0.25">
      <c r="A3">
        <v>1999</v>
      </c>
      <c r="B3">
        <v>390.6</v>
      </c>
      <c r="C3">
        <f t="shared" ref="C3:C23" si="0">$B$23/B3</f>
        <v>1.5552995391705069</v>
      </c>
      <c r="F3" s="1"/>
    </row>
    <row r="4" spans="1:6" x14ac:dyDescent="0.25">
      <c r="A4">
        <v>2000</v>
      </c>
      <c r="B4">
        <v>394.1</v>
      </c>
      <c r="C4">
        <f t="shared" si="0"/>
        <v>1.5414869322506977</v>
      </c>
    </row>
    <row r="5" spans="1:6" x14ac:dyDescent="0.25">
      <c r="A5">
        <v>2001</v>
      </c>
      <c r="B5">
        <v>394.3</v>
      </c>
      <c r="C5">
        <f t="shared" si="0"/>
        <v>1.5407050469185899</v>
      </c>
    </row>
    <row r="6" spans="1:6" x14ac:dyDescent="0.25">
      <c r="A6">
        <v>2002</v>
      </c>
      <c r="B6">
        <v>395.6</v>
      </c>
      <c r="C6">
        <f t="shared" si="0"/>
        <v>1.5356420626895853</v>
      </c>
    </row>
    <row r="7" spans="1:6" x14ac:dyDescent="0.25">
      <c r="A7">
        <v>2003</v>
      </c>
      <c r="B7">
        <v>402</v>
      </c>
      <c r="C7">
        <f t="shared" si="0"/>
        <v>1.5111940298507462</v>
      </c>
    </row>
    <row r="8" spans="1:6" x14ac:dyDescent="0.25">
      <c r="A8">
        <v>2004</v>
      </c>
      <c r="B8">
        <v>444.2</v>
      </c>
      <c r="C8">
        <f t="shared" si="0"/>
        <v>1.3676271949572265</v>
      </c>
      <c r="E8" s="2"/>
      <c r="F8" s="2"/>
    </row>
    <row r="9" spans="1:6" x14ac:dyDescent="0.25">
      <c r="A9">
        <v>2005</v>
      </c>
      <c r="B9">
        <v>468.2</v>
      </c>
      <c r="C9">
        <f t="shared" si="0"/>
        <v>1.2975224263135412</v>
      </c>
    </row>
    <row r="10" spans="1:6" x14ac:dyDescent="0.25">
      <c r="A10">
        <v>2006</v>
      </c>
      <c r="B10">
        <v>499.6</v>
      </c>
      <c r="C10">
        <f t="shared" si="0"/>
        <v>1.215972778222578</v>
      </c>
    </row>
    <row r="11" spans="1:6" x14ac:dyDescent="0.25">
      <c r="A11">
        <v>2007</v>
      </c>
      <c r="B11">
        <v>525.4</v>
      </c>
      <c r="C11">
        <f t="shared" si="0"/>
        <v>1.1562618956985156</v>
      </c>
    </row>
    <row r="12" spans="1:6" x14ac:dyDescent="0.25">
      <c r="A12">
        <v>2008</v>
      </c>
      <c r="B12">
        <v>575.4</v>
      </c>
      <c r="C12">
        <f t="shared" si="0"/>
        <v>1.0557872784150157</v>
      </c>
    </row>
    <row r="13" spans="1:6" x14ac:dyDescent="0.25">
      <c r="A13">
        <v>2009</v>
      </c>
      <c r="B13">
        <v>521.9</v>
      </c>
      <c r="C13">
        <f t="shared" si="0"/>
        <v>1.1640160950373635</v>
      </c>
    </row>
    <row r="14" spans="1:6" x14ac:dyDescent="0.25">
      <c r="A14">
        <v>2010</v>
      </c>
      <c r="B14">
        <v>550.79999999999995</v>
      </c>
      <c r="C14">
        <f t="shared" si="0"/>
        <v>1.1029411764705883</v>
      </c>
    </row>
    <row r="15" spans="1:6" x14ac:dyDescent="0.25">
      <c r="A15">
        <v>2011</v>
      </c>
      <c r="B15">
        <v>585.70000000000005</v>
      </c>
      <c r="C15">
        <f t="shared" si="0"/>
        <v>1.0372204200102442</v>
      </c>
    </row>
    <row r="16" spans="1:6" x14ac:dyDescent="0.25">
      <c r="A16">
        <v>2012</v>
      </c>
      <c r="B16">
        <v>584.6</v>
      </c>
      <c r="C16">
        <f t="shared" si="0"/>
        <v>1.0391720834758809</v>
      </c>
    </row>
    <row r="17" spans="1:3" x14ac:dyDescent="0.25">
      <c r="A17">
        <v>2013</v>
      </c>
      <c r="B17">
        <v>567.20000000000005</v>
      </c>
      <c r="C17">
        <f t="shared" si="0"/>
        <v>1.0710507757404795</v>
      </c>
    </row>
    <row r="18" spans="1:3" x14ac:dyDescent="0.25">
      <c r="A18">
        <v>2014</v>
      </c>
      <c r="B18">
        <v>576.1</v>
      </c>
      <c r="C18">
        <f t="shared" si="0"/>
        <v>1.054504426314876</v>
      </c>
    </row>
    <row r="19" spans="1:3" x14ac:dyDescent="0.25">
      <c r="A19">
        <v>2015</v>
      </c>
      <c r="B19">
        <v>556.79999999999995</v>
      </c>
      <c r="C19">
        <f t="shared" si="0"/>
        <v>1.0910560344827587</v>
      </c>
    </row>
    <row r="20" spans="1:3" x14ac:dyDescent="0.25">
      <c r="A20">
        <v>2016</v>
      </c>
      <c r="B20">
        <v>541.70000000000005</v>
      </c>
      <c r="C20">
        <f t="shared" si="0"/>
        <v>1.1214694480339671</v>
      </c>
    </row>
    <row r="21" spans="1:3" x14ac:dyDescent="0.25">
      <c r="A21">
        <v>2017</v>
      </c>
      <c r="B21">
        <v>567.5</v>
      </c>
      <c r="C21">
        <f t="shared" si="0"/>
        <v>1.0704845814977975</v>
      </c>
    </row>
    <row r="22" spans="1:3" ht="14.45" x14ac:dyDescent="0.3">
      <c r="A22">
        <v>2018</v>
      </c>
      <c r="B22">
        <v>603.1</v>
      </c>
      <c r="C22">
        <f t="shared" si="0"/>
        <v>1.0072956391974797</v>
      </c>
    </row>
    <row r="23" spans="1:3" ht="14.45" x14ac:dyDescent="0.3">
      <c r="A23">
        <v>2019</v>
      </c>
      <c r="B23">
        <v>607.5</v>
      </c>
      <c r="C23">
        <f t="shared" si="0"/>
        <v>1</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L1:O6"/>
  <sheetViews>
    <sheetView workbookViewId="0">
      <selection activeCell="K53" sqref="K53"/>
    </sheetView>
  </sheetViews>
  <sheetFormatPr defaultColWidth="9.140625" defaultRowHeight="15" x14ac:dyDescent="0.25"/>
  <cols>
    <col min="15" max="15" width="20" customWidth="1"/>
  </cols>
  <sheetData>
    <row r="1" spans="12:15" x14ac:dyDescent="0.25">
      <c r="L1" s="3" t="s">
        <v>3</v>
      </c>
    </row>
    <row r="2" spans="12:15" x14ac:dyDescent="0.25">
      <c r="M2" t="s">
        <v>4</v>
      </c>
      <c r="N2" t="s">
        <v>5</v>
      </c>
      <c r="O2" t="s">
        <v>6</v>
      </c>
    </row>
    <row r="3" spans="12:15" x14ac:dyDescent="0.25">
      <c r="L3" s="4">
        <v>2017</v>
      </c>
      <c r="M3" s="5">
        <v>2139</v>
      </c>
      <c r="N3" s="6">
        <v>241</v>
      </c>
      <c r="O3" t="s">
        <v>7</v>
      </c>
    </row>
    <row r="4" spans="12:15" x14ac:dyDescent="0.25">
      <c r="L4" s="4">
        <v>2018</v>
      </c>
      <c r="M4" s="5">
        <v>2319</v>
      </c>
      <c r="N4" s="6">
        <v>268</v>
      </c>
      <c r="O4" t="s">
        <v>7</v>
      </c>
    </row>
    <row r="5" spans="12:15" ht="15.75" thickBot="1" x14ac:dyDescent="0.3">
      <c r="L5" s="7">
        <v>2019</v>
      </c>
      <c r="M5" s="8">
        <v>2055</v>
      </c>
      <c r="N5" s="9">
        <v>231</v>
      </c>
      <c r="O5" t="s">
        <v>8</v>
      </c>
    </row>
    <row r="6" spans="12:15" x14ac:dyDescent="0.25">
      <c r="L6" s="10" t="s">
        <v>9</v>
      </c>
      <c r="M6" s="11">
        <f>AVERAGE(M3:M5)</f>
        <v>2171</v>
      </c>
      <c r="N6" s="11">
        <f>AVERAGE(N3:N5)</f>
        <v>246.66666666666666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4"/>
  <sheetViews>
    <sheetView topLeftCell="A16" workbookViewId="0">
      <selection activeCell="B37" sqref="B37"/>
    </sheetView>
  </sheetViews>
  <sheetFormatPr defaultColWidth="9.140625" defaultRowHeight="15" x14ac:dyDescent="0.25"/>
  <cols>
    <col min="1" max="1" width="58.140625" bestFit="1" customWidth="1"/>
    <col min="2" max="2" width="14.7109375" bestFit="1" customWidth="1"/>
    <col min="3" max="3" width="16.85546875" bestFit="1" customWidth="1"/>
    <col min="4" max="4" width="10.5703125" bestFit="1" customWidth="1"/>
    <col min="5" max="5" width="15.28515625" bestFit="1" customWidth="1"/>
    <col min="8" max="8" width="11.7109375" bestFit="1" customWidth="1"/>
    <col min="9" max="9" width="13.7109375" bestFit="1" customWidth="1"/>
  </cols>
  <sheetData>
    <row r="1" spans="1:18" x14ac:dyDescent="0.25">
      <c r="A1" t="s">
        <v>10</v>
      </c>
      <c r="H1" s="3" t="s">
        <v>11</v>
      </c>
    </row>
    <row r="2" spans="1:18" x14ac:dyDescent="0.25">
      <c r="A2" t="s">
        <v>12</v>
      </c>
      <c r="B2" t="s">
        <v>13</v>
      </c>
      <c r="C2" t="s">
        <v>14</v>
      </c>
    </row>
    <row r="3" spans="1:18" x14ac:dyDescent="0.25">
      <c r="A3" s="12" t="s">
        <v>15</v>
      </c>
      <c r="B3" s="13">
        <v>11191485</v>
      </c>
      <c r="H3" t="s">
        <v>16</v>
      </c>
    </row>
    <row r="4" spans="1:18" x14ac:dyDescent="0.25">
      <c r="A4" s="12" t="s">
        <v>17</v>
      </c>
      <c r="B4" s="14">
        <f>B3*0.2</f>
        <v>2238297</v>
      </c>
      <c r="H4" s="15">
        <v>150000</v>
      </c>
      <c r="I4" t="s">
        <v>18</v>
      </c>
      <c r="J4">
        <v>1</v>
      </c>
      <c r="K4" t="s">
        <v>19</v>
      </c>
      <c r="L4">
        <v>1</v>
      </c>
      <c r="M4" t="s">
        <v>20</v>
      </c>
      <c r="N4">
        <v>1</v>
      </c>
      <c r="O4" t="s">
        <v>21</v>
      </c>
      <c r="P4">
        <v>43.5</v>
      </c>
      <c r="Q4" t="s">
        <v>22</v>
      </c>
      <c r="R4" t="s">
        <v>23</v>
      </c>
    </row>
    <row r="5" spans="1:18" x14ac:dyDescent="0.25">
      <c r="A5" s="12" t="s">
        <v>24</v>
      </c>
      <c r="B5" s="14">
        <f>SUM(B3:B4)</f>
        <v>13429782</v>
      </c>
      <c r="H5">
        <v>1</v>
      </c>
      <c r="I5" t="s">
        <v>25</v>
      </c>
      <c r="J5">
        <v>970</v>
      </c>
      <c r="K5" t="s">
        <v>18</v>
      </c>
      <c r="L5" s="15">
        <v>11100</v>
      </c>
      <c r="M5" t="s">
        <v>19</v>
      </c>
      <c r="N5">
        <v>2000</v>
      </c>
      <c r="O5" t="s">
        <v>26</v>
      </c>
      <c r="P5">
        <v>1</v>
      </c>
      <c r="Q5" t="s">
        <v>21</v>
      </c>
    </row>
    <row r="6" spans="1:18" ht="60" x14ac:dyDescent="0.25">
      <c r="A6" s="12" t="s">
        <v>27</v>
      </c>
      <c r="B6">
        <f>(0.0325*(1+0.0325)^30)/(((1+0.0325)^30)-1)</f>
        <v>5.2681716941736761E-2</v>
      </c>
      <c r="C6" s="16" t="s">
        <v>86</v>
      </c>
      <c r="H6" s="17">
        <f>(H4*J4*L4*N4*P4)/(H5*J5*L5*N5*P5)</f>
        <v>3.0300919476177206E-4</v>
      </c>
    </row>
    <row r="8" spans="1:18" x14ac:dyDescent="0.25">
      <c r="A8" s="18"/>
      <c r="B8" s="19"/>
      <c r="C8" s="19"/>
      <c r="H8" t="s">
        <v>28</v>
      </c>
    </row>
    <row r="9" spans="1:18" x14ac:dyDescent="0.25">
      <c r="A9" s="12" t="s">
        <v>29</v>
      </c>
      <c r="B9" s="20">
        <f>B5*B6</f>
        <v>707503.9739132314</v>
      </c>
      <c r="H9" s="15">
        <v>150000</v>
      </c>
      <c r="I9" t="s">
        <v>18</v>
      </c>
      <c r="J9">
        <v>1</v>
      </c>
      <c r="K9" t="s">
        <v>19</v>
      </c>
      <c r="L9">
        <v>1</v>
      </c>
      <c r="M9" t="s">
        <v>30</v>
      </c>
      <c r="N9">
        <v>1.7</v>
      </c>
      <c r="O9" t="s">
        <v>22</v>
      </c>
      <c r="P9" t="s">
        <v>31</v>
      </c>
    </row>
    <row r="10" spans="1:18" x14ac:dyDescent="0.25">
      <c r="A10" t="s">
        <v>32</v>
      </c>
      <c r="H10">
        <v>1</v>
      </c>
      <c r="I10" t="s">
        <v>25</v>
      </c>
      <c r="J10">
        <v>970</v>
      </c>
      <c r="K10" t="s">
        <v>18</v>
      </c>
      <c r="L10" s="15">
        <v>1000000</v>
      </c>
      <c r="M10" t="s">
        <v>19</v>
      </c>
      <c r="N10">
        <v>1</v>
      </c>
      <c r="O10" t="s">
        <v>33</v>
      </c>
    </row>
    <row r="11" spans="1:18" x14ac:dyDescent="0.25">
      <c r="A11" s="12" t="s">
        <v>34</v>
      </c>
      <c r="B11" s="21">
        <f>I27</f>
        <v>-623677.20190778933</v>
      </c>
      <c r="C11" t="s">
        <v>35</v>
      </c>
      <c r="H11" s="22">
        <f>(H9*J9*L9*N9)/(H10*J10*L10*N10)</f>
        <v>2.6288659793814435E-4</v>
      </c>
    </row>
    <row r="12" spans="1:18" ht="14.45" customHeight="1" x14ac:dyDescent="0.25">
      <c r="A12" s="12" t="s">
        <v>36</v>
      </c>
      <c r="B12" s="23">
        <v>0</v>
      </c>
      <c r="C12" s="87"/>
    </row>
    <row r="13" spans="1:18" x14ac:dyDescent="0.25">
      <c r="A13" s="12" t="s">
        <v>37</v>
      </c>
      <c r="B13" s="23">
        <v>0</v>
      </c>
      <c r="C13" s="87"/>
    </row>
    <row r="14" spans="1:18" x14ac:dyDescent="0.25">
      <c r="A14" s="12" t="s">
        <v>38</v>
      </c>
      <c r="B14" s="23">
        <v>0</v>
      </c>
      <c r="C14" s="87"/>
    </row>
    <row r="15" spans="1:18" x14ac:dyDescent="0.25">
      <c r="A15" s="12" t="s">
        <v>39</v>
      </c>
      <c r="B15" s="23">
        <v>0</v>
      </c>
      <c r="C15" s="87"/>
      <c r="H15" s="24">
        <f>(H11-H6)/H6</f>
        <v>-0.13241379310344811</v>
      </c>
    </row>
    <row r="16" spans="1:18" x14ac:dyDescent="0.25">
      <c r="A16" s="12" t="s">
        <v>40</v>
      </c>
      <c r="B16" s="25">
        <v>25396988</v>
      </c>
    </row>
    <row r="17" spans="1:12" x14ac:dyDescent="0.25">
      <c r="A17" s="12" t="s">
        <v>41</v>
      </c>
      <c r="B17" s="25">
        <v>205086</v>
      </c>
      <c r="C17" s="26"/>
      <c r="H17" t="s">
        <v>42</v>
      </c>
    </row>
    <row r="18" spans="1:12" x14ac:dyDescent="0.25">
      <c r="A18" s="18" t="s">
        <v>43</v>
      </c>
      <c r="B18" s="27">
        <v>129632</v>
      </c>
      <c r="C18" s="28"/>
    </row>
    <row r="19" spans="1:12" x14ac:dyDescent="0.25">
      <c r="A19" s="12" t="s">
        <v>44</v>
      </c>
      <c r="B19" s="21">
        <f>SUM(B11:B18)</f>
        <v>25108028.798092209</v>
      </c>
      <c r="H19" t="s">
        <v>45</v>
      </c>
    </row>
    <row r="20" spans="1:12" x14ac:dyDescent="0.25">
      <c r="A20" s="1" t="s">
        <v>46</v>
      </c>
      <c r="I20" s="15"/>
    </row>
    <row r="21" spans="1:12" x14ac:dyDescent="0.25">
      <c r="A21" s="12" t="s">
        <v>47</v>
      </c>
      <c r="B21" s="29">
        <f>0.6*(B13+B14+B18)</f>
        <v>77779.199999999997</v>
      </c>
      <c r="H21" t="s">
        <v>48</v>
      </c>
      <c r="I21" t="s">
        <v>49</v>
      </c>
      <c r="J21" t="s">
        <v>50</v>
      </c>
      <c r="K21" t="s">
        <v>51</v>
      </c>
      <c r="L21" t="s">
        <v>52</v>
      </c>
    </row>
    <row r="22" spans="1:12" x14ac:dyDescent="0.25">
      <c r="A22" s="12" t="s">
        <v>53</v>
      </c>
      <c r="B22" s="20">
        <f>0.02*B5</f>
        <v>268595.64</v>
      </c>
    </row>
    <row r="23" spans="1:12" x14ac:dyDescent="0.25">
      <c r="A23" s="12" t="s">
        <v>54</v>
      </c>
      <c r="B23" s="20">
        <f>0.01*B5</f>
        <v>134297.82</v>
      </c>
      <c r="H23" t="s">
        <v>55</v>
      </c>
      <c r="I23" s="13">
        <v>4086385</v>
      </c>
    </row>
    <row r="24" spans="1:12" x14ac:dyDescent="0.25">
      <c r="A24" s="18" t="s">
        <v>56</v>
      </c>
      <c r="B24" s="30">
        <f>0.01*B5</f>
        <v>134297.82</v>
      </c>
    </row>
    <row r="25" spans="1:12" x14ac:dyDescent="0.25">
      <c r="A25" s="12" t="s">
        <v>57</v>
      </c>
      <c r="B25" s="25">
        <f>SUM(B21:B24)</f>
        <v>614970.48</v>
      </c>
      <c r="H25" t="s">
        <v>58</v>
      </c>
      <c r="I25" s="13">
        <f>I23/(1+H15)</f>
        <v>4710062.2019077893</v>
      </c>
    </row>
    <row r="26" spans="1:12" x14ac:dyDescent="0.25">
      <c r="A26" s="12" t="s">
        <v>59</v>
      </c>
      <c r="B26" s="20">
        <f>SUM(B9,B19,B25)</f>
        <v>26430503.252005439</v>
      </c>
    </row>
    <row r="27" spans="1:12" x14ac:dyDescent="0.25">
      <c r="I27" s="21">
        <f>I23-I25</f>
        <v>-623677.20190778933</v>
      </c>
    </row>
    <row r="28" spans="1:12" ht="14.45" x14ac:dyDescent="0.3">
      <c r="B28" s="31" t="s">
        <v>4</v>
      </c>
      <c r="C28" s="31" t="s">
        <v>60</v>
      </c>
      <c r="D28" s="31" t="s">
        <v>61</v>
      </c>
    </row>
    <row r="29" spans="1:12" ht="14.45" x14ac:dyDescent="0.3">
      <c r="A29" s="12" t="s">
        <v>62</v>
      </c>
      <c r="B29" s="32">
        <f>'[1]Read Me'!M6</f>
        <v>2171</v>
      </c>
      <c r="C29" s="32">
        <f>'[1]Read Me'!N6</f>
        <v>246.66666666666666</v>
      </c>
      <c r="D29" s="6"/>
      <c r="I29" t="s">
        <v>63</v>
      </c>
    </row>
    <row r="30" spans="1:12" ht="14.45" x14ac:dyDescent="0.3">
      <c r="A30" s="12" t="s">
        <v>64</v>
      </c>
      <c r="B30" s="33">
        <v>0.99</v>
      </c>
      <c r="C30" s="33">
        <v>0.9</v>
      </c>
      <c r="D30" s="6"/>
    </row>
    <row r="31" spans="1:12" ht="14.45" x14ac:dyDescent="0.3">
      <c r="A31" s="12" t="s">
        <v>65</v>
      </c>
      <c r="B31" s="6">
        <f>B29*B30</f>
        <v>2149.29</v>
      </c>
      <c r="C31" s="6">
        <f>C29*C30</f>
        <v>222</v>
      </c>
      <c r="D31" s="6">
        <f>SUM(B31:C31)</f>
        <v>2371.29</v>
      </c>
    </row>
    <row r="32" spans="1:12" ht="14.45" x14ac:dyDescent="0.3">
      <c r="A32" s="12" t="s">
        <v>66</v>
      </c>
      <c r="B32" s="34">
        <f>B26/B31</f>
        <v>12297.318301395084</v>
      </c>
      <c r="C32" s="34">
        <f>B26/C31</f>
        <v>119056.32095497946</v>
      </c>
      <c r="D32" s="34">
        <f>B26/D31</f>
        <v>11146.044242587554</v>
      </c>
    </row>
    <row r="34" spans="1:9" ht="14.45" x14ac:dyDescent="0.3">
      <c r="A34" s="35"/>
      <c r="B34" s="4"/>
      <c r="C34" s="4"/>
      <c r="D34" s="4"/>
      <c r="E34" s="4"/>
      <c r="F34" s="4"/>
      <c r="G34" s="4"/>
      <c r="H34" s="4"/>
      <c r="I34" s="4"/>
    </row>
    <row r="35" spans="1:9" ht="14.45" x14ac:dyDescent="0.3">
      <c r="A35" s="35"/>
      <c r="B35" s="4"/>
      <c r="C35" s="4"/>
      <c r="D35" s="4"/>
      <c r="E35" s="4"/>
      <c r="F35" s="4"/>
      <c r="G35" s="4"/>
      <c r="H35" s="4"/>
      <c r="I35" s="4"/>
    </row>
    <row r="36" spans="1:9" ht="14.45" x14ac:dyDescent="0.3">
      <c r="A36" s="84"/>
      <c r="B36" s="4"/>
      <c r="C36" s="4"/>
      <c r="D36" s="4"/>
      <c r="E36" s="4"/>
      <c r="F36" s="4"/>
      <c r="G36" s="4"/>
      <c r="H36" s="4"/>
      <c r="I36" s="4"/>
    </row>
    <row r="37" spans="1:9" ht="14.45" x14ac:dyDescent="0.3">
      <c r="A37" s="4"/>
      <c r="B37" s="4"/>
      <c r="C37" s="4"/>
      <c r="D37" s="4"/>
      <c r="E37" s="4"/>
      <c r="F37" s="4"/>
      <c r="G37" s="4"/>
      <c r="H37" s="4"/>
      <c r="I37" s="4"/>
    </row>
    <row r="38" spans="1:9" ht="14.45" x14ac:dyDescent="0.3">
      <c r="A38" s="84"/>
      <c r="B38" s="45"/>
      <c r="C38" s="4"/>
      <c r="D38" s="4"/>
      <c r="E38" s="4"/>
      <c r="F38" s="4"/>
      <c r="G38" s="4"/>
      <c r="H38" s="4"/>
      <c r="I38" s="4"/>
    </row>
    <row r="39" spans="1:9" ht="14.45" x14ac:dyDescent="0.3">
      <c r="A39" s="84"/>
      <c r="B39" s="45"/>
      <c r="C39" s="4"/>
      <c r="D39" s="4"/>
      <c r="E39" s="4"/>
      <c r="F39" s="4"/>
      <c r="G39" s="4"/>
      <c r="H39" s="4"/>
      <c r="I39" s="4"/>
    </row>
    <row r="40" spans="1:9" ht="14.45" x14ac:dyDescent="0.3">
      <c r="A40" s="4"/>
      <c r="B40" s="42"/>
      <c r="C40" s="42"/>
      <c r="D40" s="42"/>
      <c r="E40" s="4"/>
      <c r="F40" s="4"/>
      <c r="G40" s="4"/>
      <c r="H40" s="4"/>
      <c r="I40" s="4"/>
    </row>
    <row r="41" spans="1:9" ht="14.45" x14ac:dyDescent="0.3">
      <c r="A41" s="84"/>
      <c r="B41" s="45"/>
      <c r="C41" s="45"/>
      <c r="D41" s="45"/>
      <c r="E41" s="4"/>
      <c r="F41" s="4"/>
      <c r="G41" s="4"/>
      <c r="H41" s="4"/>
      <c r="I41" s="4"/>
    </row>
    <row r="42" spans="1:9" ht="14.45" x14ac:dyDescent="0.3">
      <c r="A42" s="4"/>
      <c r="B42" s="4"/>
      <c r="C42" s="4"/>
      <c r="D42" s="4"/>
      <c r="E42" s="4"/>
      <c r="F42" s="4"/>
      <c r="G42" s="4"/>
      <c r="H42" s="4"/>
      <c r="I42" s="4"/>
    </row>
    <row r="43" spans="1:9" ht="14.45" x14ac:dyDescent="0.3">
      <c r="A43" s="4"/>
      <c r="B43" s="4"/>
      <c r="C43" s="4"/>
      <c r="D43" s="4"/>
      <c r="E43" s="4"/>
      <c r="F43" s="4"/>
      <c r="G43" s="4"/>
      <c r="H43" s="4"/>
      <c r="I43" s="4"/>
    </row>
    <row r="44" spans="1:9" ht="14.45" x14ac:dyDescent="0.3">
      <c r="A44" s="4"/>
      <c r="B44" s="4"/>
      <c r="C44" s="4"/>
      <c r="D44" s="4"/>
      <c r="E44" s="4"/>
      <c r="F44" s="4"/>
      <c r="G44" s="4"/>
      <c r="H44" s="4"/>
      <c r="I44" s="4"/>
    </row>
  </sheetData>
  <mergeCells count="1">
    <mergeCell ref="C12:C1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3"/>
  <sheetViews>
    <sheetView topLeftCell="A19" workbookViewId="0">
      <selection activeCell="A36" sqref="A36:E43"/>
    </sheetView>
  </sheetViews>
  <sheetFormatPr defaultColWidth="9.140625" defaultRowHeight="15" x14ac:dyDescent="0.25"/>
  <cols>
    <col min="1" max="1" width="58.140625" bestFit="1" customWidth="1"/>
    <col min="2" max="2" width="14.7109375" bestFit="1" customWidth="1"/>
    <col min="3" max="3" width="16.85546875" bestFit="1" customWidth="1"/>
    <col min="4" max="4" width="10.5703125" bestFit="1" customWidth="1"/>
    <col min="5" max="5" width="15.28515625" bestFit="1" customWidth="1"/>
    <col min="8" max="8" width="11.7109375" bestFit="1" customWidth="1"/>
    <col min="9" max="9" width="13.7109375" bestFit="1" customWidth="1"/>
  </cols>
  <sheetData>
    <row r="1" spans="1:18" x14ac:dyDescent="0.25">
      <c r="H1" s="3" t="s">
        <v>11</v>
      </c>
    </row>
    <row r="2" spans="1:18" x14ac:dyDescent="0.25">
      <c r="A2" t="s">
        <v>12</v>
      </c>
      <c r="B2" t="s">
        <v>13</v>
      </c>
      <c r="C2" t="s">
        <v>14</v>
      </c>
    </row>
    <row r="3" spans="1:18" ht="14.45" customHeight="1" x14ac:dyDescent="0.25">
      <c r="A3" s="12" t="s">
        <v>15</v>
      </c>
      <c r="B3" s="13">
        <v>10646285</v>
      </c>
      <c r="H3" t="s">
        <v>16</v>
      </c>
    </row>
    <row r="4" spans="1:18" x14ac:dyDescent="0.25">
      <c r="A4" s="12" t="s">
        <v>17</v>
      </c>
      <c r="B4" s="14">
        <f>B3*0.2</f>
        <v>2129257</v>
      </c>
      <c r="H4" s="15">
        <v>150000</v>
      </c>
      <c r="I4" t="s">
        <v>18</v>
      </c>
      <c r="J4">
        <v>1</v>
      </c>
      <c r="K4" t="s">
        <v>19</v>
      </c>
      <c r="L4">
        <v>1</v>
      </c>
      <c r="M4" t="s">
        <v>20</v>
      </c>
      <c r="N4">
        <v>1</v>
      </c>
      <c r="O4" t="s">
        <v>21</v>
      </c>
      <c r="P4">
        <v>43.5</v>
      </c>
      <c r="Q4" t="s">
        <v>22</v>
      </c>
      <c r="R4" t="s">
        <v>23</v>
      </c>
    </row>
    <row r="5" spans="1:18" x14ac:dyDescent="0.25">
      <c r="A5" s="12" t="s">
        <v>24</v>
      </c>
      <c r="B5" s="14">
        <f>SUM(B3:B4)</f>
        <v>12775542</v>
      </c>
      <c r="H5">
        <v>1</v>
      </c>
      <c r="I5" t="s">
        <v>25</v>
      </c>
      <c r="J5">
        <v>970</v>
      </c>
      <c r="K5" t="s">
        <v>18</v>
      </c>
      <c r="L5" s="15">
        <v>11100</v>
      </c>
      <c r="M5" t="s">
        <v>19</v>
      </c>
      <c r="N5">
        <v>2000</v>
      </c>
      <c r="O5" t="s">
        <v>26</v>
      </c>
      <c r="P5">
        <v>1</v>
      </c>
      <c r="Q5" t="s">
        <v>21</v>
      </c>
    </row>
    <row r="6" spans="1:18" ht="60" x14ac:dyDescent="0.25">
      <c r="A6" s="12" t="s">
        <v>27</v>
      </c>
      <c r="B6">
        <f>(0.0325*(1+0.0325)^30)/(((1+0.0325)^30)-1)</f>
        <v>5.2681716941736761E-2</v>
      </c>
      <c r="C6" s="16" t="s">
        <v>86</v>
      </c>
      <c r="H6" s="17">
        <f>(H4*J4*L4*N4*P4)/(H5*J5*L5*N5*P5)</f>
        <v>3.0300919476177206E-4</v>
      </c>
    </row>
    <row r="8" spans="1:18" x14ac:dyDescent="0.25">
      <c r="A8" s="18"/>
      <c r="B8" s="19"/>
      <c r="C8" s="19"/>
      <c r="H8" t="s">
        <v>28</v>
      </c>
    </row>
    <row r="9" spans="1:18" x14ac:dyDescent="0.25">
      <c r="A9" s="12" t="s">
        <v>29</v>
      </c>
      <c r="B9" s="20">
        <f>B5*B6</f>
        <v>673037.48742126953</v>
      </c>
      <c r="H9" s="15">
        <v>150000</v>
      </c>
      <c r="I9" t="s">
        <v>18</v>
      </c>
      <c r="J9">
        <v>1</v>
      </c>
      <c r="K9" t="s">
        <v>19</v>
      </c>
      <c r="L9">
        <v>1</v>
      </c>
      <c r="M9" t="s">
        <v>30</v>
      </c>
      <c r="N9">
        <v>1.7</v>
      </c>
      <c r="O9" t="s">
        <v>22</v>
      </c>
      <c r="P9" t="s">
        <v>31</v>
      </c>
    </row>
    <row r="10" spans="1:18" x14ac:dyDescent="0.25">
      <c r="A10" t="s">
        <v>32</v>
      </c>
      <c r="H10">
        <v>1</v>
      </c>
      <c r="I10" t="s">
        <v>25</v>
      </c>
      <c r="J10">
        <v>970</v>
      </c>
      <c r="K10" t="s">
        <v>18</v>
      </c>
      <c r="L10" s="15">
        <v>1000000</v>
      </c>
      <c r="M10" t="s">
        <v>19</v>
      </c>
      <c r="N10">
        <v>1</v>
      </c>
      <c r="O10" t="s">
        <v>33</v>
      </c>
    </row>
    <row r="11" spans="1:18" x14ac:dyDescent="0.25">
      <c r="A11" s="12" t="s">
        <v>34</v>
      </c>
      <c r="B11" s="21">
        <f>I27</f>
        <v>-623677.20190778933</v>
      </c>
      <c r="C11" t="s">
        <v>35</v>
      </c>
      <c r="H11" s="22">
        <f>(H9*J9*L9*N9)/(H10*J10*L10*N10)</f>
        <v>2.6288659793814435E-4</v>
      </c>
    </row>
    <row r="12" spans="1:18" ht="14.45" customHeight="1" x14ac:dyDescent="0.25">
      <c r="A12" s="12" t="s">
        <v>36</v>
      </c>
      <c r="B12" s="23">
        <v>0</v>
      </c>
      <c r="C12" s="87"/>
    </row>
    <row r="13" spans="1:18" x14ac:dyDescent="0.25">
      <c r="A13" s="12" t="s">
        <v>37</v>
      </c>
      <c r="B13" s="23">
        <v>0</v>
      </c>
      <c r="C13" s="87"/>
    </row>
    <row r="14" spans="1:18" x14ac:dyDescent="0.25">
      <c r="A14" s="12" t="s">
        <v>38</v>
      </c>
      <c r="B14" s="23">
        <v>0</v>
      </c>
      <c r="C14" s="87"/>
    </row>
    <row r="15" spans="1:18" x14ac:dyDescent="0.25">
      <c r="A15" s="12" t="s">
        <v>39</v>
      </c>
      <c r="B15" s="23">
        <v>0</v>
      </c>
      <c r="C15" s="87"/>
      <c r="H15" s="24">
        <f>(H11-H6)/H6</f>
        <v>-0.13241379310344811</v>
      </c>
    </row>
    <row r="16" spans="1:18" x14ac:dyDescent="0.25">
      <c r="A16" s="12" t="s">
        <v>40</v>
      </c>
      <c r="B16" s="25">
        <v>25396988</v>
      </c>
    </row>
    <row r="17" spans="1:12" x14ac:dyDescent="0.25">
      <c r="A17" s="12" t="s">
        <v>41</v>
      </c>
      <c r="B17" s="25">
        <v>205086</v>
      </c>
      <c r="C17" s="26"/>
      <c r="H17" t="s">
        <v>42</v>
      </c>
    </row>
    <row r="18" spans="1:12" x14ac:dyDescent="0.25">
      <c r="A18" s="18" t="s">
        <v>43</v>
      </c>
      <c r="B18" s="27">
        <v>129632</v>
      </c>
      <c r="C18" s="28"/>
    </row>
    <row r="19" spans="1:12" ht="14.45" x14ac:dyDescent="0.3">
      <c r="A19" s="12" t="s">
        <v>44</v>
      </c>
      <c r="B19" s="21">
        <f>SUM(B11:B18)</f>
        <v>25108028.798092209</v>
      </c>
      <c r="H19" t="s">
        <v>45</v>
      </c>
    </row>
    <row r="20" spans="1:12" ht="14.45" x14ac:dyDescent="0.3">
      <c r="A20" s="1" t="s">
        <v>46</v>
      </c>
      <c r="I20" s="15"/>
    </row>
    <row r="21" spans="1:12" ht="14.45" x14ac:dyDescent="0.3">
      <c r="A21" s="12" t="s">
        <v>47</v>
      </c>
      <c r="B21" s="36">
        <f>0.6*(B13+B14+B18)</f>
        <v>77779.199999999997</v>
      </c>
      <c r="H21" t="s">
        <v>48</v>
      </c>
      <c r="I21" t="s">
        <v>49</v>
      </c>
      <c r="J21" t="s">
        <v>50</v>
      </c>
      <c r="K21" t="s">
        <v>51</v>
      </c>
      <c r="L21" t="s">
        <v>52</v>
      </c>
    </row>
    <row r="22" spans="1:12" ht="14.45" x14ac:dyDescent="0.3">
      <c r="A22" s="12" t="s">
        <v>53</v>
      </c>
      <c r="B22" s="37">
        <f>0.02*B5</f>
        <v>255510.84</v>
      </c>
    </row>
    <row r="23" spans="1:12" ht="14.45" x14ac:dyDescent="0.3">
      <c r="A23" s="12" t="s">
        <v>54</v>
      </c>
      <c r="B23" s="37">
        <f>0.01*B5</f>
        <v>127755.42</v>
      </c>
      <c r="H23" t="s">
        <v>55</v>
      </c>
      <c r="I23" s="13">
        <v>4086385</v>
      </c>
    </row>
    <row r="24" spans="1:12" ht="14.45" x14ac:dyDescent="0.3">
      <c r="A24" s="18" t="s">
        <v>56</v>
      </c>
      <c r="B24" s="38">
        <f>0.01*B5</f>
        <v>127755.42</v>
      </c>
    </row>
    <row r="25" spans="1:12" ht="14.45" x14ac:dyDescent="0.3">
      <c r="A25" s="12" t="s">
        <v>57</v>
      </c>
      <c r="B25" s="25">
        <f>SUM(B21:B24)</f>
        <v>588800.88</v>
      </c>
      <c r="H25" t="s">
        <v>58</v>
      </c>
      <c r="I25" s="13">
        <f>I23/(1+H15)</f>
        <v>4710062.2019077893</v>
      </c>
    </row>
    <row r="26" spans="1:12" ht="14.45" x14ac:dyDescent="0.3">
      <c r="A26" s="12" t="s">
        <v>59</v>
      </c>
      <c r="B26" s="20">
        <f>SUM(B9,B19,B25)</f>
        <v>26369867.165513478</v>
      </c>
    </row>
    <row r="27" spans="1:12" ht="14.45" x14ac:dyDescent="0.3">
      <c r="I27" s="21">
        <f>I23-I25</f>
        <v>-623677.20190778933</v>
      </c>
    </row>
    <row r="28" spans="1:12" ht="14.45" x14ac:dyDescent="0.3">
      <c r="B28" s="39" t="s">
        <v>4</v>
      </c>
      <c r="C28" s="39" t="s">
        <v>60</v>
      </c>
      <c r="D28" s="39" t="s">
        <v>61</v>
      </c>
    </row>
    <row r="29" spans="1:12" ht="14.45" x14ac:dyDescent="0.3">
      <c r="A29" s="12" t="s">
        <v>62</v>
      </c>
      <c r="B29" s="32">
        <f>'[1]Read Me'!M6</f>
        <v>2171</v>
      </c>
      <c r="C29" s="32">
        <f>'[1]Read Me'!N6</f>
        <v>246.66666666666666</v>
      </c>
      <c r="D29" s="6"/>
      <c r="I29" t="s">
        <v>63</v>
      </c>
    </row>
    <row r="30" spans="1:12" ht="14.45" x14ac:dyDescent="0.3">
      <c r="A30" s="12" t="s">
        <v>64</v>
      </c>
      <c r="B30" s="33">
        <v>0.99</v>
      </c>
      <c r="C30" s="33">
        <v>0.9</v>
      </c>
      <c r="D30" s="6"/>
    </row>
    <row r="31" spans="1:12" ht="14.45" x14ac:dyDescent="0.3">
      <c r="A31" s="12" t="s">
        <v>65</v>
      </c>
      <c r="B31" s="6">
        <f>B29*B30</f>
        <v>2149.29</v>
      </c>
      <c r="C31" s="6">
        <f>C29*C30</f>
        <v>222</v>
      </c>
      <c r="D31" s="6">
        <f>SUM(B31:C31)</f>
        <v>2371.29</v>
      </c>
    </row>
    <row r="32" spans="1:12" ht="14.45" x14ac:dyDescent="0.3">
      <c r="A32" s="12" t="s">
        <v>66</v>
      </c>
      <c r="B32" s="34">
        <f>B26/B31</f>
        <v>12269.106153898952</v>
      </c>
      <c r="C32" s="34">
        <f>B26/C31</f>
        <v>118783.18543024089</v>
      </c>
      <c r="D32" s="34">
        <f>B26/D31</f>
        <v>11120.473314319834</v>
      </c>
    </row>
    <row r="36" spans="1:5" ht="14.45" x14ac:dyDescent="0.3">
      <c r="A36" s="35"/>
      <c r="B36" s="4"/>
      <c r="C36" s="4"/>
      <c r="D36" s="4"/>
      <c r="E36" s="4"/>
    </row>
    <row r="37" spans="1:5" ht="14.45" x14ac:dyDescent="0.3">
      <c r="A37" s="35"/>
      <c r="B37" s="4"/>
      <c r="C37" s="4"/>
      <c r="D37" s="4"/>
      <c r="E37" s="4"/>
    </row>
    <row r="38" spans="1:5" ht="14.45" x14ac:dyDescent="0.3">
      <c r="A38" s="84"/>
      <c r="B38" s="4"/>
      <c r="C38" s="4"/>
      <c r="D38" s="4"/>
      <c r="E38" s="4"/>
    </row>
    <row r="39" spans="1:5" ht="14.45" x14ac:dyDescent="0.3">
      <c r="A39" s="4"/>
      <c r="B39" s="4"/>
      <c r="C39" s="4"/>
      <c r="D39" s="4"/>
      <c r="E39" s="4"/>
    </row>
    <row r="40" spans="1:5" ht="14.45" x14ac:dyDescent="0.3">
      <c r="A40" s="84"/>
      <c r="B40" s="45"/>
      <c r="C40" s="4"/>
      <c r="D40" s="4"/>
      <c r="E40" s="4"/>
    </row>
    <row r="41" spans="1:5" ht="14.45" x14ac:dyDescent="0.3">
      <c r="A41" s="84"/>
      <c r="B41" s="45"/>
      <c r="C41" s="4"/>
      <c r="D41" s="4"/>
      <c r="E41" s="4"/>
    </row>
    <row r="42" spans="1:5" ht="14.45" x14ac:dyDescent="0.3">
      <c r="A42" s="4"/>
      <c r="B42" s="42"/>
      <c r="C42" s="42"/>
      <c r="D42" s="42"/>
      <c r="E42" s="4"/>
    </row>
    <row r="43" spans="1:5" ht="14.45" x14ac:dyDescent="0.3">
      <c r="A43" s="84"/>
      <c r="B43" s="45"/>
      <c r="C43" s="45"/>
      <c r="D43" s="45"/>
      <c r="E43" s="4"/>
    </row>
  </sheetData>
  <mergeCells count="1">
    <mergeCell ref="C12:C1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5"/>
  <sheetViews>
    <sheetView topLeftCell="A19" workbookViewId="0">
      <selection activeCell="A37" sqref="A37:E45"/>
    </sheetView>
  </sheetViews>
  <sheetFormatPr defaultColWidth="9.140625" defaultRowHeight="15" x14ac:dyDescent="0.25"/>
  <cols>
    <col min="1" max="1" width="58.140625" bestFit="1" customWidth="1"/>
    <col min="2" max="2" width="14.7109375" bestFit="1" customWidth="1"/>
    <col min="3" max="3" width="16.85546875" bestFit="1" customWidth="1"/>
    <col min="4" max="4" width="10.5703125" bestFit="1" customWidth="1"/>
    <col min="5" max="5" width="15.28515625" bestFit="1" customWidth="1"/>
    <col min="8" max="8" width="11.7109375" bestFit="1" customWidth="1"/>
    <col min="9" max="9" width="13.7109375" bestFit="1" customWidth="1"/>
  </cols>
  <sheetData>
    <row r="1" spans="1:18" x14ac:dyDescent="0.25">
      <c r="H1" s="3" t="s">
        <v>11</v>
      </c>
    </row>
    <row r="2" spans="1:18" x14ac:dyDescent="0.25">
      <c r="A2" t="s">
        <v>12</v>
      </c>
      <c r="B2" t="s">
        <v>13</v>
      </c>
      <c r="C2" t="s">
        <v>14</v>
      </c>
    </row>
    <row r="3" spans="1:18" x14ac:dyDescent="0.25">
      <c r="A3" s="12" t="s">
        <v>15</v>
      </c>
      <c r="B3" s="13">
        <v>7033162</v>
      </c>
      <c r="H3" t="s">
        <v>16</v>
      </c>
    </row>
    <row r="4" spans="1:18" x14ac:dyDescent="0.25">
      <c r="A4" s="12" t="s">
        <v>17</v>
      </c>
      <c r="B4" s="14">
        <f>B3*0.2</f>
        <v>1406632.4000000001</v>
      </c>
      <c r="H4" s="15">
        <v>150000</v>
      </c>
      <c r="I4" t="s">
        <v>18</v>
      </c>
      <c r="J4">
        <v>1</v>
      </c>
      <c r="K4" t="s">
        <v>19</v>
      </c>
      <c r="L4">
        <v>1</v>
      </c>
      <c r="M4" t="s">
        <v>20</v>
      </c>
      <c r="N4">
        <v>1</v>
      </c>
      <c r="O4" t="s">
        <v>21</v>
      </c>
      <c r="P4">
        <v>43.5</v>
      </c>
      <c r="Q4" t="s">
        <v>22</v>
      </c>
      <c r="R4" t="s">
        <v>23</v>
      </c>
    </row>
    <row r="5" spans="1:18" x14ac:dyDescent="0.25">
      <c r="A5" s="12" t="s">
        <v>24</v>
      </c>
      <c r="B5" s="14">
        <f>SUM(B3:B4)</f>
        <v>8439794.4000000004</v>
      </c>
      <c r="H5">
        <v>1</v>
      </c>
      <c r="I5" t="s">
        <v>25</v>
      </c>
      <c r="J5">
        <v>970</v>
      </c>
      <c r="K5" t="s">
        <v>18</v>
      </c>
      <c r="L5" s="15">
        <v>11100</v>
      </c>
      <c r="M5" t="s">
        <v>19</v>
      </c>
      <c r="N5">
        <v>2000</v>
      </c>
      <c r="O5" t="s">
        <v>26</v>
      </c>
      <c r="P5">
        <v>1</v>
      </c>
      <c r="Q5" t="s">
        <v>21</v>
      </c>
    </row>
    <row r="6" spans="1:18" ht="60" x14ac:dyDescent="0.25">
      <c r="A6" s="12" t="s">
        <v>27</v>
      </c>
      <c r="B6">
        <f>(0.0325*(1+0.0325)^30)/(((1+0.0325)^30)-1)</f>
        <v>5.2681716941736761E-2</v>
      </c>
      <c r="C6" s="16" t="s">
        <v>86</v>
      </c>
      <c r="H6" s="17">
        <f>(H4*J4*L4*N4*P4)/(H5*J5*L5*N5*P5)</f>
        <v>3.0300919476177206E-4</v>
      </c>
    </row>
    <row r="8" spans="1:18" x14ac:dyDescent="0.25">
      <c r="A8" s="18"/>
      <c r="B8" s="19"/>
      <c r="C8" s="19"/>
      <c r="H8" t="s">
        <v>28</v>
      </c>
    </row>
    <row r="9" spans="1:18" x14ac:dyDescent="0.25">
      <c r="A9" s="12" t="s">
        <v>29</v>
      </c>
      <c r="B9" s="20">
        <f>B5*B6</f>
        <v>444622.85962725506</v>
      </c>
      <c r="H9" s="15">
        <v>150000</v>
      </c>
      <c r="I9" t="s">
        <v>18</v>
      </c>
      <c r="J9">
        <v>1</v>
      </c>
      <c r="K9" t="s">
        <v>19</v>
      </c>
      <c r="L9">
        <v>1</v>
      </c>
      <c r="M9" t="s">
        <v>30</v>
      </c>
      <c r="N9">
        <v>1.7</v>
      </c>
      <c r="O9" t="s">
        <v>22</v>
      </c>
      <c r="P9" t="s">
        <v>31</v>
      </c>
    </row>
    <row r="10" spans="1:18" x14ac:dyDescent="0.25">
      <c r="A10" t="s">
        <v>32</v>
      </c>
      <c r="H10">
        <v>1</v>
      </c>
      <c r="I10" t="s">
        <v>25</v>
      </c>
      <c r="J10">
        <v>970</v>
      </c>
      <c r="K10" t="s">
        <v>18</v>
      </c>
      <c r="L10" s="15">
        <v>1000000</v>
      </c>
      <c r="M10" t="s">
        <v>19</v>
      </c>
      <c r="N10">
        <v>1</v>
      </c>
      <c r="O10" t="s">
        <v>33</v>
      </c>
    </row>
    <row r="11" spans="1:18" x14ac:dyDescent="0.25">
      <c r="A11" s="12" t="s">
        <v>34</v>
      </c>
      <c r="B11" s="21">
        <f>I27</f>
        <v>-292507.26868044492</v>
      </c>
      <c r="C11" t="s">
        <v>35</v>
      </c>
      <c r="H11" s="22">
        <f>(H9*J9*L9*N9)/(H10*J10*L10*N10)</f>
        <v>2.6288659793814435E-4</v>
      </c>
    </row>
    <row r="12" spans="1:18" ht="14.45" customHeight="1" x14ac:dyDescent="0.25">
      <c r="A12" s="12" t="s">
        <v>36</v>
      </c>
      <c r="B12" s="23">
        <v>0</v>
      </c>
      <c r="C12" s="87"/>
    </row>
    <row r="13" spans="1:18" x14ac:dyDescent="0.25">
      <c r="A13" s="12" t="s">
        <v>37</v>
      </c>
      <c r="B13" s="23">
        <v>0</v>
      </c>
      <c r="C13" s="87"/>
    </row>
    <row r="14" spans="1:18" x14ac:dyDescent="0.25">
      <c r="A14" s="12" t="s">
        <v>38</v>
      </c>
      <c r="B14" s="23">
        <v>0</v>
      </c>
      <c r="C14" s="87"/>
    </row>
    <row r="15" spans="1:18" x14ac:dyDescent="0.25">
      <c r="A15" s="12" t="s">
        <v>39</v>
      </c>
      <c r="B15" s="23">
        <v>0</v>
      </c>
      <c r="C15" s="87"/>
      <c r="H15" s="24">
        <f>(H11-H6)/H6</f>
        <v>-0.13241379310344811</v>
      </c>
    </row>
    <row r="16" spans="1:18" x14ac:dyDescent="0.25">
      <c r="A16" s="12" t="s">
        <v>40</v>
      </c>
      <c r="B16" s="25">
        <v>8465663</v>
      </c>
    </row>
    <row r="17" spans="1:12" x14ac:dyDescent="0.25">
      <c r="A17" s="12" t="s">
        <v>41</v>
      </c>
      <c r="B17" s="25">
        <v>68363</v>
      </c>
      <c r="C17" s="26"/>
      <c r="H17" t="s">
        <v>42</v>
      </c>
    </row>
    <row r="18" spans="1:12" x14ac:dyDescent="0.25">
      <c r="A18" s="18" t="s">
        <v>43</v>
      </c>
      <c r="B18" s="27">
        <v>25926</v>
      </c>
      <c r="C18" s="28"/>
    </row>
    <row r="19" spans="1:12" ht="14.45" x14ac:dyDescent="0.3">
      <c r="A19" s="12" t="s">
        <v>44</v>
      </c>
      <c r="B19" s="21">
        <f>SUM(B11:B18)</f>
        <v>8267444.7313195551</v>
      </c>
      <c r="H19" t="s">
        <v>45</v>
      </c>
    </row>
    <row r="20" spans="1:12" ht="14.45" x14ac:dyDescent="0.3">
      <c r="A20" s="1" t="s">
        <v>46</v>
      </c>
      <c r="I20" s="15"/>
    </row>
    <row r="21" spans="1:12" ht="14.45" x14ac:dyDescent="0.3">
      <c r="A21" s="12" t="s">
        <v>47</v>
      </c>
      <c r="B21" s="40">
        <f>0.6*(B13+B14+B18)</f>
        <v>15555.599999999999</v>
      </c>
      <c r="H21" t="s">
        <v>48</v>
      </c>
      <c r="I21" t="s">
        <v>49</v>
      </c>
      <c r="J21" t="s">
        <v>50</v>
      </c>
      <c r="K21" t="s">
        <v>51</v>
      </c>
      <c r="L21" t="s">
        <v>52</v>
      </c>
    </row>
    <row r="22" spans="1:12" ht="14.45" x14ac:dyDescent="0.3">
      <c r="A22" s="12" t="s">
        <v>53</v>
      </c>
      <c r="B22" s="37">
        <f>0.02*B5</f>
        <v>168795.88800000001</v>
      </c>
    </row>
    <row r="23" spans="1:12" ht="14.45" x14ac:dyDescent="0.3">
      <c r="A23" s="12" t="s">
        <v>54</v>
      </c>
      <c r="B23" s="37">
        <f>0.01*B5</f>
        <v>84397.944000000003</v>
      </c>
      <c r="H23" t="s">
        <v>55</v>
      </c>
      <c r="I23" s="13">
        <v>1916532</v>
      </c>
    </row>
    <row r="24" spans="1:12" ht="14.45" x14ac:dyDescent="0.3">
      <c r="A24" s="18" t="s">
        <v>56</v>
      </c>
      <c r="B24" s="38">
        <f>0.01*B5</f>
        <v>84397.944000000003</v>
      </c>
    </row>
    <row r="25" spans="1:12" ht="14.45" x14ac:dyDescent="0.3">
      <c r="A25" s="12" t="s">
        <v>57</v>
      </c>
      <c r="B25" s="25">
        <f>SUM(B21:B24)</f>
        <v>353147.37600000005</v>
      </c>
      <c r="H25" t="s">
        <v>58</v>
      </c>
      <c r="I25" s="13">
        <f>I23/(1+H15)</f>
        <v>2209039.2686804449</v>
      </c>
    </row>
    <row r="26" spans="1:12" ht="14.45" x14ac:dyDescent="0.3">
      <c r="A26" s="12" t="s">
        <v>59</v>
      </c>
      <c r="B26" s="20">
        <f>SUM(B9,B19,B25)</f>
        <v>9065214.9669468105</v>
      </c>
    </row>
    <row r="27" spans="1:12" ht="14.45" x14ac:dyDescent="0.3">
      <c r="I27" s="21">
        <f>I23-I25</f>
        <v>-292507.26868044492</v>
      </c>
    </row>
    <row r="28" spans="1:12" ht="14.45" x14ac:dyDescent="0.3">
      <c r="B28" s="31" t="s">
        <v>4</v>
      </c>
      <c r="C28" s="31" t="s">
        <v>60</v>
      </c>
      <c r="D28" s="31" t="s">
        <v>61</v>
      </c>
    </row>
    <row r="29" spans="1:12" ht="14.45" x14ac:dyDescent="0.3">
      <c r="A29" s="12" t="s">
        <v>62</v>
      </c>
      <c r="B29" s="32">
        <f>'[1]Read Me'!M6</f>
        <v>2171</v>
      </c>
      <c r="C29" s="32">
        <f>'[1]Read Me'!N6</f>
        <v>246.66666666666666</v>
      </c>
      <c r="D29" s="6"/>
    </row>
    <row r="30" spans="1:12" ht="14.45" x14ac:dyDescent="0.3">
      <c r="A30" s="12" t="s">
        <v>64</v>
      </c>
      <c r="B30" s="33">
        <v>0.33</v>
      </c>
      <c r="C30" s="33">
        <v>0.3</v>
      </c>
      <c r="D30" s="6"/>
    </row>
    <row r="31" spans="1:12" ht="14.45" x14ac:dyDescent="0.3">
      <c r="A31" s="12" t="s">
        <v>65</v>
      </c>
      <c r="B31" s="6">
        <f>B29*B30</f>
        <v>716.43000000000006</v>
      </c>
      <c r="C31" s="6">
        <f>C29*C30</f>
        <v>74</v>
      </c>
      <c r="D31" s="6">
        <f>SUM(B31:C31)</f>
        <v>790.43000000000006</v>
      </c>
    </row>
    <row r="32" spans="1:12" ht="14.45" x14ac:dyDescent="0.3">
      <c r="A32" s="12" t="s">
        <v>66</v>
      </c>
      <c r="B32" s="34">
        <f>B26/B31</f>
        <v>12653.315699994151</v>
      </c>
      <c r="C32" s="34">
        <f>B26/C31</f>
        <v>122502.90495874068</v>
      </c>
      <c r="D32" s="34">
        <f>B26/D31</f>
        <v>11468.713190221537</v>
      </c>
    </row>
    <row r="37" spans="1:5" ht="14.45" x14ac:dyDescent="0.3">
      <c r="A37" s="35"/>
      <c r="B37" s="4"/>
      <c r="C37" s="4"/>
      <c r="D37" s="4"/>
      <c r="E37" s="4"/>
    </row>
    <row r="38" spans="1:5" ht="14.45" x14ac:dyDescent="0.3">
      <c r="A38" s="35"/>
      <c r="B38" s="4"/>
      <c r="C38" s="4"/>
      <c r="D38" s="4"/>
      <c r="E38" s="4"/>
    </row>
    <row r="39" spans="1:5" ht="14.45" x14ac:dyDescent="0.3">
      <c r="A39" s="84"/>
      <c r="B39" s="4"/>
      <c r="C39" s="4"/>
      <c r="D39" s="4"/>
      <c r="E39" s="4"/>
    </row>
    <row r="40" spans="1:5" ht="14.45" x14ac:dyDescent="0.3">
      <c r="A40" s="4"/>
      <c r="B40" s="4"/>
      <c r="C40" s="4"/>
      <c r="D40" s="4"/>
      <c r="E40" s="4"/>
    </row>
    <row r="41" spans="1:5" ht="14.45" x14ac:dyDescent="0.3">
      <c r="A41" s="84"/>
      <c r="B41" s="45"/>
      <c r="C41" s="4"/>
      <c r="D41" s="4"/>
      <c r="E41" s="4"/>
    </row>
    <row r="42" spans="1:5" ht="14.45" x14ac:dyDescent="0.3">
      <c r="A42" s="84"/>
      <c r="B42" s="45"/>
      <c r="C42" s="4"/>
      <c r="D42" s="4"/>
      <c r="E42" s="4"/>
    </row>
    <row r="43" spans="1:5" ht="14.45" x14ac:dyDescent="0.3">
      <c r="A43" s="4"/>
      <c r="B43" s="42"/>
      <c r="C43" s="42"/>
      <c r="D43" s="42"/>
      <c r="E43" s="4"/>
    </row>
    <row r="44" spans="1:5" ht="14.45" x14ac:dyDescent="0.3">
      <c r="A44" s="84"/>
      <c r="B44" s="45"/>
      <c r="C44" s="45"/>
      <c r="D44" s="45"/>
      <c r="E44" s="4"/>
    </row>
    <row r="45" spans="1:5" ht="14.45" x14ac:dyDescent="0.3">
      <c r="A45" s="4"/>
      <c r="B45" s="4"/>
      <c r="C45" s="4"/>
      <c r="D45" s="4"/>
      <c r="E45" s="4"/>
    </row>
  </sheetData>
  <mergeCells count="1">
    <mergeCell ref="C12:C15"/>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5"/>
  <sheetViews>
    <sheetView topLeftCell="A31" workbookViewId="0">
      <selection activeCell="A37" sqref="A37:D45"/>
    </sheetView>
  </sheetViews>
  <sheetFormatPr defaultColWidth="9.140625" defaultRowHeight="15" x14ac:dyDescent="0.25"/>
  <cols>
    <col min="1" max="1" width="58.140625" bestFit="1" customWidth="1"/>
    <col min="2" max="2" width="14.7109375" bestFit="1" customWidth="1"/>
    <col min="3" max="3" width="16.85546875" bestFit="1" customWidth="1"/>
    <col min="4" max="4" width="10.5703125" bestFit="1" customWidth="1"/>
    <col min="5" max="5" width="15.28515625" bestFit="1" customWidth="1"/>
    <col min="8" max="8" width="11.7109375" bestFit="1" customWidth="1"/>
    <col min="9" max="9" width="13.7109375" bestFit="1" customWidth="1"/>
  </cols>
  <sheetData>
    <row r="1" spans="1:18" x14ac:dyDescent="0.25">
      <c r="A1" t="s">
        <v>67</v>
      </c>
      <c r="H1" s="3" t="s">
        <v>11</v>
      </c>
    </row>
    <row r="2" spans="1:18" x14ac:dyDescent="0.25">
      <c r="A2" t="s">
        <v>12</v>
      </c>
      <c r="B2" t="s">
        <v>13</v>
      </c>
      <c r="C2" t="s">
        <v>14</v>
      </c>
    </row>
    <row r="3" spans="1:18" ht="14.45" customHeight="1" x14ac:dyDescent="0.25">
      <c r="A3" s="12" t="s">
        <v>15</v>
      </c>
      <c r="B3" s="13">
        <v>5509762</v>
      </c>
      <c r="H3" t="s">
        <v>16</v>
      </c>
    </row>
    <row r="4" spans="1:18" x14ac:dyDescent="0.25">
      <c r="A4" s="12" t="s">
        <v>17</v>
      </c>
      <c r="B4" s="14">
        <f>B3*0.2</f>
        <v>1101952.4000000001</v>
      </c>
      <c r="H4" s="15">
        <v>150000</v>
      </c>
      <c r="I4" t="s">
        <v>18</v>
      </c>
      <c r="J4">
        <v>1</v>
      </c>
      <c r="K4" t="s">
        <v>19</v>
      </c>
      <c r="L4">
        <v>1</v>
      </c>
      <c r="M4" t="s">
        <v>20</v>
      </c>
      <c r="N4">
        <v>1</v>
      </c>
      <c r="O4" t="s">
        <v>21</v>
      </c>
      <c r="P4">
        <v>43.5</v>
      </c>
      <c r="Q4" t="s">
        <v>22</v>
      </c>
      <c r="R4" t="s">
        <v>23</v>
      </c>
    </row>
    <row r="5" spans="1:18" x14ac:dyDescent="0.25">
      <c r="A5" s="12" t="s">
        <v>24</v>
      </c>
      <c r="B5" s="14">
        <f>SUM(B3:B4)</f>
        <v>6611714.4000000004</v>
      </c>
      <c r="H5">
        <v>1</v>
      </c>
      <c r="I5" t="s">
        <v>25</v>
      </c>
      <c r="J5">
        <v>970</v>
      </c>
      <c r="K5" t="s">
        <v>18</v>
      </c>
      <c r="L5" s="15">
        <v>11100</v>
      </c>
      <c r="M5" t="s">
        <v>19</v>
      </c>
      <c r="N5">
        <v>2000</v>
      </c>
      <c r="O5" t="s">
        <v>26</v>
      </c>
      <c r="P5">
        <v>1</v>
      </c>
      <c r="Q5" t="s">
        <v>21</v>
      </c>
    </row>
    <row r="6" spans="1:18" ht="60" x14ac:dyDescent="0.25">
      <c r="A6" s="12" t="s">
        <v>27</v>
      </c>
      <c r="B6">
        <f>(0.0325*(1+0.0325)^30)/(((1+0.0325)^30)-1)</f>
        <v>5.2681716941736761E-2</v>
      </c>
      <c r="C6" s="16" t="s">
        <v>86</v>
      </c>
      <c r="H6" s="17">
        <f>(H4*J4*L4*N4*P4)/(H5*J5*L5*N5*P5)</f>
        <v>3.0300919476177206E-4</v>
      </c>
    </row>
    <row r="8" spans="1:18" x14ac:dyDescent="0.25">
      <c r="A8" s="18"/>
      <c r="B8" s="19"/>
      <c r="C8" s="19"/>
      <c r="H8" t="s">
        <v>28</v>
      </c>
    </row>
    <row r="9" spans="1:18" x14ac:dyDescent="0.25">
      <c r="A9" s="12" t="s">
        <v>29</v>
      </c>
      <c r="B9" s="20">
        <f>B5*B6</f>
        <v>348316.46652040491</v>
      </c>
      <c r="H9" s="15">
        <v>150000</v>
      </c>
      <c r="I9" t="s">
        <v>18</v>
      </c>
      <c r="J9">
        <v>1</v>
      </c>
      <c r="K9" t="s">
        <v>19</v>
      </c>
      <c r="L9">
        <v>1</v>
      </c>
      <c r="M9" t="s">
        <v>30</v>
      </c>
      <c r="N9">
        <v>1.7</v>
      </c>
      <c r="O9" t="s">
        <v>22</v>
      </c>
      <c r="P9" t="s">
        <v>31</v>
      </c>
    </row>
    <row r="10" spans="1:18" x14ac:dyDescent="0.25">
      <c r="A10" t="s">
        <v>32</v>
      </c>
      <c r="H10">
        <v>1</v>
      </c>
      <c r="I10" t="s">
        <v>25</v>
      </c>
      <c r="J10">
        <v>970</v>
      </c>
      <c r="K10" t="s">
        <v>18</v>
      </c>
      <c r="L10" s="15">
        <v>1000000</v>
      </c>
      <c r="M10" t="s">
        <v>19</v>
      </c>
      <c r="N10">
        <v>1</v>
      </c>
      <c r="O10" t="s">
        <v>33</v>
      </c>
    </row>
    <row r="11" spans="1:18" x14ac:dyDescent="0.25">
      <c r="A11" s="12" t="s">
        <v>34</v>
      </c>
      <c r="B11" s="21">
        <f>I27</f>
        <v>-292507.26868044492</v>
      </c>
      <c r="C11" t="s">
        <v>35</v>
      </c>
      <c r="H11" s="22">
        <f>(H9*J9*L9*N9)/(H10*J10*L10*N10)</f>
        <v>2.6288659793814435E-4</v>
      </c>
    </row>
    <row r="12" spans="1:18" ht="14.45" customHeight="1" x14ac:dyDescent="0.25">
      <c r="A12" s="12" t="s">
        <v>36</v>
      </c>
      <c r="B12" s="23">
        <v>0</v>
      </c>
      <c r="C12" s="87"/>
    </row>
    <row r="13" spans="1:18" x14ac:dyDescent="0.25">
      <c r="A13" s="12" t="s">
        <v>37</v>
      </c>
      <c r="B13" s="23">
        <v>0</v>
      </c>
      <c r="C13" s="87"/>
    </row>
    <row r="14" spans="1:18" x14ac:dyDescent="0.25">
      <c r="A14" s="12" t="s">
        <v>38</v>
      </c>
      <c r="B14" s="23">
        <v>0</v>
      </c>
      <c r="C14" s="87"/>
    </row>
    <row r="15" spans="1:18" x14ac:dyDescent="0.25">
      <c r="A15" s="12" t="s">
        <v>39</v>
      </c>
      <c r="B15" s="23">
        <v>0</v>
      </c>
      <c r="C15" s="87"/>
      <c r="H15" s="24">
        <f>(H11-H6)/H6</f>
        <v>-0.13241379310344811</v>
      </c>
    </row>
    <row r="16" spans="1:18" x14ac:dyDescent="0.25">
      <c r="A16" s="12" t="s">
        <v>40</v>
      </c>
      <c r="B16" s="25">
        <v>8465663</v>
      </c>
    </row>
    <row r="17" spans="1:12" x14ac:dyDescent="0.25">
      <c r="A17" s="12" t="s">
        <v>41</v>
      </c>
      <c r="B17" s="25">
        <v>68363</v>
      </c>
      <c r="C17" s="26"/>
      <c r="H17" t="s">
        <v>42</v>
      </c>
    </row>
    <row r="18" spans="1:12" x14ac:dyDescent="0.25">
      <c r="A18" s="18" t="s">
        <v>43</v>
      </c>
      <c r="B18" s="27">
        <v>25926</v>
      </c>
      <c r="C18" s="28"/>
    </row>
    <row r="19" spans="1:12" ht="14.45" x14ac:dyDescent="0.3">
      <c r="A19" s="12" t="s">
        <v>44</v>
      </c>
      <c r="B19" s="21">
        <f>SUM(B11:B18)</f>
        <v>8267444.7313195551</v>
      </c>
      <c r="H19" t="s">
        <v>45</v>
      </c>
    </row>
    <row r="20" spans="1:12" ht="14.45" x14ac:dyDescent="0.3">
      <c r="A20" s="1" t="s">
        <v>46</v>
      </c>
      <c r="I20" s="15"/>
    </row>
    <row r="21" spans="1:12" ht="14.45" x14ac:dyDescent="0.3">
      <c r="A21" s="12" t="s">
        <v>47</v>
      </c>
      <c r="B21" s="40">
        <f>0.6*(B13+B14+B18)</f>
        <v>15555.599999999999</v>
      </c>
      <c r="H21" t="s">
        <v>48</v>
      </c>
      <c r="I21" t="s">
        <v>49</v>
      </c>
      <c r="J21" t="s">
        <v>50</v>
      </c>
      <c r="K21" t="s">
        <v>51</v>
      </c>
      <c r="L21" t="s">
        <v>52</v>
      </c>
    </row>
    <row r="22" spans="1:12" ht="14.45" x14ac:dyDescent="0.3">
      <c r="A22" s="12" t="s">
        <v>53</v>
      </c>
      <c r="B22" s="37">
        <f>0.02*B5</f>
        <v>132234.288</v>
      </c>
    </row>
    <row r="23" spans="1:12" ht="14.45" x14ac:dyDescent="0.3">
      <c r="A23" s="12" t="s">
        <v>54</v>
      </c>
      <c r="B23" s="37">
        <f>0.01*B5</f>
        <v>66117.144</v>
      </c>
      <c r="H23" t="s">
        <v>55</v>
      </c>
      <c r="I23" s="13">
        <v>1916532</v>
      </c>
    </row>
    <row r="24" spans="1:12" ht="14.45" x14ac:dyDescent="0.3">
      <c r="A24" s="18" t="s">
        <v>56</v>
      </c>
      <c r="B24" s="38">
        <f>0.01*B5</f>
        <v>66117.144</v>
      </c>
    </row>
    <row r="25" spans="1:12" ht="14.45" x14ac:dyDescent="0.3">
      <c r="A25" s="12" t="s">
        <v>57</v>
      </c>
      <c r="B25" s="25">
        <f>SUM(B21:B24)</f>
        <v>280024.17599999998</v>
      </c>
      <c r="H25" t="s">
        <v>58</v>
      </c>
      <c r="I25" s="13">
        <f>I23/(1+H15)</f>
        <v>2209039.2686804449</v>
      </c>
    </row>
    <row r="26" spans="1:12" ht="14.45" x14ac:dyDescent="0.3">
      <c r="A26" s="12" t="s">
        <v>59</v>
      </c>
      <c r="B26" s="20">
        <f>SUM(B9,B19,B25)</f>
        <v>8895785.3738399595</v>
      </c>
    </row>
    <row r="27" spans="1:12" ht="14.45" x14ac:dyDescent="0.3">
      <c r="I27" s="21">
        <f>I23-I25</f>
        <v>-292507.26868044492</v>
      </c>
    </row>
    <row r="28" spans="1:12" ht="14.45" x14ac:dyDescent="0.3">
      <c r="B28" s="31" t="s">
        <v>4</v>
      </c>
      <c r="C28" s="31" t="s">
        <v>60</v>
      </c>
      <c r="D28" s="31" t="s">
        <v>61</v>
      </c>
    </row>
    <row r="29" spans="1:12" ht="14.45" x14ac:dyDescent="0.3">
      <c r="A29" s="12" t="s">
        <v>62</v>
      </c>
      <c r="B29" s="32">
        <f>'[1]Read Me'!M6</f>
        <v>2171</v>
      </c>
      <c r="C29" s="32">
        <f>'[1]Read Me'!N6</f>
        <v>246.66666666666666</v>
      </c>
      <c r="D29" s="6"/>
    </row>
    <row r="30" spans="1:12" ht="14.45" x14ac:dyDescent="0.3">
      <c r="A30" s="12" t="s">
        <v>64</v>
      </c>
      <c r="B30" s="33">
        <v>0.33</v>
      </c>
      <c r="C30" s="33">
        <v>0.3</v>
      </c>
      <c r="D30" s="6"/>
    </row>
    <row r="31" spans="1:12" ht="14.45" x14ac:dyDescent="0.3">
      <c r="A31" s="12" t="s">
        <v>65</v>
      </c>
      <c r="B31" s="6">
        <f>B29*B30</f>
        <v>716.43000000000006</v>
      </c>
      <c r="C31" s="6">
        <f>C29*C30</f>
        <v>74</v>
      </c>
      <c r="D31" s="6">
        <f>SUM(B31:C31)</f>
        <v>790.43000000000006</v>
      </c>
    </row>
    <row r="32" spans="1:12" ht="14.45" x14ac:dyDescent="0.3">
      <c r="A32" s="12" t="s">
        <v>66</v>
      </c>
      <c r="B32" s="34">
        <f>B26/B31</f>
        <v>12416.824217076279</v>
      </c>
      <c r="C32" s="34">
        <f>B26/C31</f>
        <v>120213.31586270216</v>
      </c>
      <c r="D32" s="34">
        <f>B26/D31</f>
        <v>11254.362023000087</v>
      </c>
    </row>
    <row r="37" spans="1:4" ht="14.45" x14ac:dyDescent="0.3">
      <c r="A37" s="35"/>
      <c r="B37" s="4"/>
      <c r="C37" s="4"/>
      <c r="D37" s="4"/>
    </row>
    <row r="38" spans="1:4" ht="14.45" x14ac:dyDescent="0.3">
      <c r="A38" s="35"/>
      <c r="B38" s="4"/>
      <c r="C38" s="4"/>
      <c r="D38" s="4"/>
    </row>
    <row r="39" spans="1:4" ht="14.45" x14ac:dyDescent="0.3">
      <c r="A39" s="84"/>
      <c r="B39" s="4"/>
      <c r="C39" s="4"/>
      <c r="D39" s="4"/>
    </row>
    <row r="40" spans="1:4" ht="14.45" x14ac:dyDescent="0.3">
      <c r="A40" s="4"/>
      <c r="B40" s="4"/>
      <c r="C40" s="4"/>
      <c r="D40" s="4"/>
    </row>
    <row r="41" spans="1:4" ht="14.45" x14ac:dyDescent="0.3">
      <c r="A41" s="84"/>
      <c r="B41" s="85"/>
      <c r="C41" s="4"/>
      <c r="D41" s="4"/>
    </row>
    <row r="42" spans="1:4" ht="14.45" x14ac:dyDescent="0.3">
      <c r="A42" s="84"/>
      <c r="B42" s="45"/>
      <c r="C42" s="4"/>
      <c r="D42" s="4"/>
    </row>
    <row r="43" spans="1:4" ht="14.45" x14ac:dyDescent="0.3">
      <c r="A43" s="4"/>
      <c r="B43" s="42"/>
      <c r="C43" s="42"/>
      <c r="D43" s="42"/>
    </row>
    <row r="44" spans="1:4" ht="14.45" x14ac:dyDescent="0.3">
      <c r="A44" s="84"/>
      <c r="B44" s="45"/>
      <c r="C44" s="45"/>
      <c r="D44" s="45"/>
    </row>
    <row r="45" spans="1:4" ht="14.45" x14ac:dyDescent="0.3">
      <c r="A45" s="4"/>
      <c r="B45" s="4"/>
      <c r="C45" s="4"/>
      <c r="D45" s="4"/>
    </row>
  </sheetData>
  <mergeCells count="1">
    <mergeCell ref="C12:C15"/>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1"/>
  <sheetViews>
    <sheetView topLeftCell="A16" workbookViewId="0">
      <selection activeCell="A33" sqref="A33:E41"/>
    </sheetView>
  </sheetViews>
  <sheetFormatPr defaultColWidth="9.140625" defaultRowHeight="15" x14ac:dyDescent="0.25"/>
  <cols>
    <col min="1" max="1" width="58.140625" bestFit="1" customWidth="1"/>
    <col min="2" max="2" width="14.7109375" bestFit="1" customWidth="1"/>
    <col min="3" max="3" width="16.85546875" bestFit="1" customWidth="1"/>
    <col min="4" max="4" width="10.5703125" bestFit="1" customWidth="1"/>
    <col min="5" max="5" width="15.28515625" bestFit="1" customWidth="1"/>
    <col min="8" max="8" width="11.7109375" bestFit="1" customWidth="1"/>
    <col min="9" max="9" width="13.7109375" bestFit="1" customWidth="1"/>
  </cols>
  <sheetData>
    <row r="1" spans="1:12" x14ac:dyDescent="0.25">
      <c r="H1" s="3"/>
    </row>
    <row r="2" spans="1:12" x14ac:dyDescent="0.25">
      <c r="A2" t="s">
        <v>12</v>
      </c>
      <c r="B2" t="s">
        <v>13</v>
      </c>
      <c r="C2" t="s">
        <v>14</v>
      </c>
    </row>
    <row r="3" spans="1:12" ht="14.45" customHeight="1" x14ac:dyDescent="0.25">
      <c r="A3" s="12" t="s">
        <v>15</v>
      </c>
      <c r="B3" s="13">
        <v>57853376</v>
      </c>
      <c r="C3" t="s">
        <v>68</v>
      </c>
    </row>
    <row r="4" spans="1:12" x14ac:dyDescent="0.25">
      <c r="A4" s="12" t="s">
        <v>17</v>
      </c>
      <c r="B4" s="14">
        <f>B3*0.2</f>
        <v>11570675.200000001</v>
      </c>
      <c r="H4" s="15"/>
    </row>
    <row r="5" spans="1:12" x14ac:dyDescent="0.25">
      <c r="A5" s="12" t="s">
        <v>24</v>
      </c>
      <c r="B5" s="14">
        <f>SUM(B3:B4)</f>
        <v>69424051.200000003</v>
      </c>
      <c r="L5" s="15"/>
    </row>
    <row r="6" spans="1:12" ht="60" x14ac:dyDescent="0.25">
      <c r="A6" s="12" t="s">
        <v>27</v>
      </c>
      <c r="B6">
        <f>(0.0325*(1+0.0325)^30)/(((1+0.0325)^30)-1)</f>
        <v>5.2681716941736761E-2</v>
      </c>
      <c r="C6" s="16" t="s">
        <v>86</v>
      </c>
      <c r="H6" s="17"/>
    </row>
    <row r="8" spans="1:12" x14ac:dyDescent="0.25">
      <c r="A8" s="18"/>
      <c r="B8" s="19"/>
      <c r="C8" s="19"/>
    </row>
    <row r="9" spans="1:12" x14ac:dyDescent="0.25">
      <c r="A9" s="12" t="s">
        <v>29</v>
      </c>
      <c r="B9" s="20">
        <f>B5*B6</f>
        <v>3657378.2142670406</v>
      </c>
      <c r="H9" s="15"/>
    </row>
    <row r="10" spans="1:12" x14ac:dyDescent="0.25">
      <c r="A10" t="s">
        <v>32</v>
      </c>
      <c r="L10" s="15"/>
    </row>
    <row r="11" spans="1:12" x14ac:dyDescent="0.25">
      <c r="A11" s="12" t="s">
        <v>69</v>
      </c>
      <c r="B11" s="21">
        <v>2166649</v>
      </c>
      <c r="H11" s="22"/>
    </row>
    <row r="12" spans="1:12" ht="14.45" customHeight="1" x14ac:dyDescent="0.25">
      <c r="A12" s="12" t="s">
        <v>70</v>
      </c>
      <c r="B12" s="23">
        <v>448041</v>
      </c>
      <c r="C12" s="87"/>
    </row>
    <row r="13" spans="1:12" x14ac:dyDescent="0.25">
      <c r="A13" s="12" t="s">
        <v>71</v>
      </c>
      <c r="B13" s="23">
        <v>70376</v>
      </c>
      <c r="C13" s="87"/>
    </row>
    <row r="14" spans="1:12" x14ac:dyDescent="0.25">
      <c r="A14" s="12" t="s">
        <v>72</v>
      </c>
      <c r="B14" s="23">
        <v>6742</v>
      </c>
      <c r="C14" s="87"/>
    </row>
    <row r="15" spans="1:12" x14ac:dyDescent="0.25">
      <c r="A15" s="12" t="s">
        <v>73</v>
      </c>
      <c r="B15" s="23">
        <v>332983</v>
      </c>
      <c r="C15" s="87"/>
      <c r="H15" s="24"/>
    </row>
    <row r="16" spans="1:12" x14ac:dyDescent="0.25">
      <c r="A16" s="12" t="s">
        <v>74</v>
      </c>
      <c r="B16" s="25">
        <v>18424</v>
      </c>
    </row>
    <row r="17" spans="1:9" x14ac:dyDescent="0.25">
      <c r="A17" s="12" t="s">
        <v>44</v>
      </c>
      <c r="B17" s="21">
        <f>SUM(B11:B16)</f>
        <v>3043215</v>
      </c>
    </row>
    <row r="18" spans="1:9" x14ac:dyDescent="0.25">
      <c r="A18" s="1" t="s">
        <v>46</v>
      </c>
      <c r="I18" s="15"/>
    </row>
    <row r="19" spans="1:9" ht="14.45" x14ac:dyDescent="0.3">
      <c r="A19" s="12" t="s">
        <v>47</v>
      </c>
      <c r="B19" s="41">
        <f>0.6*(SUM(B11:B13))</f>
        <v>1611039.5999999999</v>
      </c>
    </row>
    <row r="20" spans="1:9" ht="14.45" x14ac:dyDescent="0.3">
      <c r="A20" s="12" t="s">
        <v>53</v>
      </c>
      <c r="B20" s="25">
        <f>0.02*B5</f>
        <v>1388481.024</v>
      </c>
    </row>
    <row r="21" spans="1:9" ht="14.45" x14ac:dyDescent="0.3">
      <c r="A21" s="12" t="s">
        <v>54</v>
      </c>
      <c r="B21" s="25">
        <f>0.01*B5</f>
        <v>694240.51199999999</v>
      </c>
      <c r="I21" s="13"/>
    </row>
    <row r="22" spans="1:9" ht="14.45" x14ac:dyDescent="0.3">
      <c r="A22" s="18" t="s">
        <v>56</v>
      </c>
      <c r="B22" s="27">
        <f>0.01*B5</f>
        <v>694240.51199999999</v>
      </c>
    </row>
    <row r="23" spans="1:9" ht="14.45" x14ac:dyDescent="0.3">
      <c r="A23" s="12" t="s">
        <v>57</v>
      </c>
      <c r="B23" s="25">
        <f>SUM(B19:B22)</f>
        <v>4388001.648</v>
      </c>
      <c r="I23" s="13"/>
    </row>
    <row r="24" spans="1:9" ht="14.45" x14ac:dyDescent="0.3">
      <c r="A24" s="12" t="s">
        <v>59</v>
      </c>
      <c r="B24" s="20">
        <f>SUM(B9,B17,B23)</f>
        <v>11088594.86226704</v>
      </c>
    </row>
    <row r="25" spans="1:9" ht="14.45" x14ac:dyDescent="0.3">
      <c r="I25" s="21"/>
    </row>
    <row r="26" spans="1:9" ht="14.45" x14ac:dyDescent="0.3">
      <c r="B26" s="31" t="s">
        <v>4</v>
      </c>
      <c r="C26" s="42"/>
      <c r="D26" s="42"/>
    </row>
    <row r="27" spans="1:9" ht="14.45" x14ac:dyDescent="0.3">
      <c r="A27" s="12" t="s">
        <v>62</v>
      </c>
      <c r="B27" s="32">
        <f>'[1]Read Me'!M6</f>
        <v>2171</v>
      </c>
      <c r="C27" s="43"/>
      <c r="D27" s="4"/>
    </row>
    <row r="28" spans="1:9" ht="14.45" x14ac:dyDescent="0.3">
      <c r="A28" s="12" t="s">
        <v>64</v>
      </c>
      <c r="B28" s="33">
        <v>0.94</v>
      </c>
      <c r="C28" s="44"/>
      <c r="D28" s="4"/>
    </row>
    <row r="29" spans="1:9" ht="14.45" x14ac:dyDescent="0.3">
      <c r="A29" s="12" t="s">
        <v>65</v>
      </c>
      <c r="B29" s="6">
        <f>B27*B28</f>
        <v>2040.7399999999998</v>
      </c>
      <c r="C29" s="4"/>
      <c r="D29" s="4"/>
    </row>
    <row r="30" spans="1:9" ht="14.45" x14ac:dyDescent="0.3">
      <c r="A30" s="12" t="s">
        <v>66</v>
      </c>
      <c r="B30" s="34">
        <f>B24/B29</f>
        <v>5433.614699700619</v>
      </c>
      <c r="C30" s="45"/>
      <c r="D30" s="45"/>
    </row>
    <row r="33" spans="1:5" ht="14.45" x14ac:dyDescent="0.3">
      <c r="A33" s="35"/>
      <c r="B33" s="4"/>
      <c r="C33" s="4"/>
      <c r="D33" s="4"/>
      <c r="E33" s="4"/>
    </row>
    <row r="34" spans="1:5" ht="14.45" x14ac:dyDescent="0.3">
      <c r="A34" s="35"/>
      <c r="B34" s="4"/>
      <c r="C34" s="4"/>
      <c r="D34" s="4"/>
      <c r="E34" s="4"/>
    </row>
    <row r="35" spans="1:5" ht="14.45" x14ac:dyDescent="0.3">
      <c r="A35" s="84"/>
      <c r="B35" s="4"/>
      <c r="C35" s="4"/>
      <c r="D35" s="4"/>
      <c r="E35" s="4"/>
    </row>
    <row r="36" spans="1:5" ht="14.45" x14ac:dyDescent="0.3">
      <c r="A36" s="4"/>
      <c r="B36" s="4"/>
      <c r="C36" s="4"/>
      <c r="D36" s="4"/>
      <c r="E36" s="4"/>
    </row>
    <row r="37" spans="1:5" ht="14.45" x14ac:dyDescent="0.3">
      <c r="A37" s="84"/>
      <c r="B37" s="45"/>
      <c r="C37" s="4"/>
      <c r="D37" s="4"/>
      <c r="E37" s="4"/>
    </row>
    <row r="38" spans="1:5" ht="14.45" x14ac:dyDescent="0.3">
      <c r="A38" s="84"/>
      <c r="B38" s="45"/>
      <c r="C38" s="4"/>
      <c r="D38" s="4"/>
      <c r="E38" s="4"/>
    </row>
    <row r="39" spans="1:5" ht="14.45" x14ac:dyDescent="0.3">
      <c r="A39" s="4"/>
      <c r="B39" s="42"/>
      <c r="C39" s="42"/>
      <c r="D39" s="42"/>
      <c r="E39" s="4"/>
    </row>
    <row r="40" spans="1:5" ht="14.45" x14ac:dyDescent="0.3">
      <c r="A40" s="84"/>
      <c r="B40" s="45"/>
      <c r="C40" s="45"/>
      <c r="D40" s="45"/>
      <c r="E40" s="4"/>
    </row>
    <row r="41" spans="1:5" ht="14.45" x14ac:dyDescent="0.3">
      <c r="A41" s="4"/>
      <c r="B41" s="4"/>
      <c r="C41" s="4"/>
      <c r="D41" s="4"/>
      <c r="E41" s="4"/>
    </row>
  </sheetData>
  <mergeCells count="1">
    <mergeCell ref="C12:C15"/>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1"/>
  <sheetViews>
    <sheetView topLeftCell="A22" workbookViewId="0">
      <selection activeCell="A32" sqref="A32:C41"/>
    </sheetView>
  </sheetViews>
  <sheetFormatPr defaultColWidth="9.140625" defaultRowHeight="15" x14ac:dyDescent="0.25"/>
  <cols>
    <col min="1" max="1" width="58.140625" bestFit="1" customWidth="1"/>
    <col min="2" max="2" width="17.28515625" bestFit="1" customWidth="1"/>
    <col min="3" max="3" width="24.7109375" customWidth="1"/>
    <col min="4" max="4" width="10.5703125" bestFit="1" customWidth="1"/>
    <col min="5" max="5" width="15.28515625" bestFit="1" customWidth="1"/>
    <col min="8" max="8" width="11.7109375" bestFit="1" customWidth="1"/>
    <col min="9" max="9" width="13.7109375" bestFit="1" customWidth="1"/>
  </cols>
  <sheetData>
    <row r="1" spans="1:12" x14ac:dyDescent="0.25">
      <c r="H1" s="3"/>
    </row>
    <row r="2" spans="1:12" x14ac:dyDescent="0.25">
      <c r="A2" t="s">
        <v>12</v>
      </c>
      <c r="B2" t="s">
        <v>13</v>
      </c>
      <c r="C2" t="s">
        <v>14</v>
      </c>
    </row>
    <row r="3" spans="1:12" ht="14.45" customHeight="1" x14ac:dyDescent="0.25">
      <c r="A3" s="12" t="s">
        <v>15</v>
      </c>
      <c r="B3" s="13">
        <v>49722467</v>
      </c>
      <c r="C3" t="s">
        <v>68</v>
      </c>
    </row>
    <row r="4" spans="1:12" x14ac:dyDescent="0.25">
      <c r="A4" s="12" t="s">
        <v>17</v>
      </c>
      <c r="B4" s="14">
        <f>B3*0.2</f>
        <v>9944493.4000000004</v>
      </c>
      <c r="H4" s="15"/>
    </row>
    <row r="5" spans="1:12" x14ac:dyDescent="0.25">
      <c r="A5" s="12" t="s">
        <v>24</v>
      </c>
      <c r="B5" s="14">
        <f>SUM(B3:B4)</f>
        <v>59666960.399999999</v>
      </c>
      <c r="L5" s="15"/>
    </row>
    <row r="6" spans="1:12" ht="30" x14ac:dyDescent="0.25">
      <c r="A6" s="12" t="s">
        <v>27</v>
      </c>
      <c r="B6">
        <f>(0.0325*(1+0.0325)^30)/(((1+0.0325)^30)-1)</f>
        <v>5.2681716941736761E-2</v>
      </c>
      <c r="C6" s="16" t="s">
        <v>86</v>
      </c>
      <c r="H6" s="17"/>
    </row>
    <row r="8" spans="1:12" x14ac:dyDescent="0.25">
      <c r="A8" s="18"/>
      <c r="B8" s="19"/>
      <c r="C8" s="19"/>
    </row>
    <row r="9" spans="1:12" x14ac:dyDescent="0.25">
      <c r="A9" s="12" t="s">
        <v>29</v>
      </c>
      <c r="B9" s="20">
        <f>B5*B6</f>
        <v>3143357.9185666163</v>
      </c>
      <c r="H9" s="15"/>
    </row>
    <row r="10" spans="1:12" x14ac:dyDescent="0.25">
      <c r="A10" t="s">
        <v>32</v>
      </c>
      <c r="L10" s="15"/>
    </row>
    <row r="11" spans="1:12" x14ac:dyDescent="0.25">
      <c r="A11" s="12" t="s">
        <v>69</v>
      </c>
      <c r="B11" s="21">
        <v>1444433</v>
      </c>
      <c r="H11" s="22"/>
    </row>
    <row r="12" spans="1:12" ht="14.45" customHeight="1" x14ac:dyDescent="0.25">
      <c r="A12" s="12" t="s">
        <v>75</v>
      </c>
      <c r="B12" s="23">
        <v>173063</v>
      </c>
      <c r="C12" s="87"/>
    </row>
    <row r="13" spans="1:12" x14ac:dyDescent="0.25">
      <c r="A13" s="12" t="s">
        <v>71</v>
      </c>
      <c r="B13" s="23">
        <v>45410</v>
      </c>
      <c r="C13" s="87"/>
    </row>
    <row r="14" spans="1:12" x14ac:dyDescent="0.25">
      <c r="A14" s="12" t="s">
        <v>72</v>
      </c>
      <c r="B14" s="23">
        <v>6763</v>
      </c>
      <c r="C14" s="87"/>
    </row>
    <row r="15" spans="1:12" x14ac:dyDescent="0.25">
      <c r="A15" s="12" t="s">
        <v>73</v>
      </c>
      <c r="B15" s="23">
        <v>379506</v>
      </c>
      <c r="C15" s="87"/>
      <c r="H15" s="24"/>
    </row>
    <row r="16" spans="1:12" x14ac:dyDescent="0.25">
      <c r="A16" s="12" t="s">
        <v>76</v>
      </c>
      <c r="B16" s="25">
        <v>18424</v>
      </c>
    </row>
    <row r="17" spans="1:9" x14ac:dyDescent="0.25">
      <c r="A17" s="12" t="s">
        <v>44</v>
      </c>
      <c r="B17" s="21">
        <f>SUM(B11:B16)</f>
        <v>2067599</v>
      </c>
    </row>
    <row r="18" spans="1:9" x14ac:dyDescent="0.25">
      <c r="A18" s="1" t="s">
        <v>46</v>
      </c>
      <c r="I18" s="15"/>
    </row>
    <row r="19" spans="1:9" x14ac:dyDescent="0.25">
      <c r="A19" s="12" t="s">
        <v>47</v>
      </c>
      <c r="B19" s="41">
        <f>0.6*(SUM(B11:B13))</f>
        <v>997743.6</v>
      </c>
    </row>
    <row r="20" spans="1:9" x14ac:dyDescent="0.25">
      <c r="A20" s="12" t="s">
        <v>53</v>
      </c>
      <c r="B20" s="37">
        <f>0.02*B5</f>
        <v>1193339.2080000001</v>
      </c>
    </row>
    <row r="21" spans="1:9" ht="14.45" x14ac:dyDescent="0.3">
      <c r="A21" s="12" t="s">
        <v>54</v>
      </c>
      <c r="B21" s="37">
        <f>0.01*B5</f>
        <v>596669.60400000005</v>
      </c>
      <c r="I21" s="13"/>
    </row>
    <row r="22" spans="1:9" ht="14.45" x14ac:dyDescent="0.3">
      <c r="A22" s="18" t="s">
        <v>56</v>
      </c>
      <c r="B22" s="38">
        <f>0.01*B5</f>
        <v>596669.60400000005</v>
      </c>
    </row>
    <row r="23" spans="1:9" ht="14.45" x14ac:dyDescent="0.3">
      <c r="A23" s="12" t="s">
        <v>57</v>
      </c>
      <c r="B23" s="25">
        <f>SUM(B19:B22)</f>
        <v>3384422.0160000008</v>
      </c>
      <c r="I23" s="13"/>
    </row>
    <row r="24" spans="1:9" ht="14.45" x14ac:dyDescent="0.3">
      <c r="A24" s="12" t="s">
        <v>59</v>
      </c>
      <c r="B24" s="20">
        <f>SUM(B9,B17,B23)</f>
        <v>8595378.934566617</v>
      </c>
    </row>
    <row r="25" spans="1:9" ht="14.45" x14ac:dyDescent="0.3">
      <c r="I25" s="21"/>
    </row>
    <row r="26" spans="1:9" ht="14.45" x14ac:dyDescent="0.3">
      <c r="B26" s="31" t="s">
        <v>4</v>
      </c>
      <c r="C26" s="42"/>
      <c r="D26" s="42"/>
    </row>
    <row r="27" spans="1:9" ht="14.45" x14ac:dyDescent="0.3">
      <c r="A27" s="12" t="s">
        <v>62</v>
      </c>
      <c r="B27" s="32">
        <f>'[1]Read Me'!M6</f>
        <v>2171</v>
      </c>
      <c r="C27" s="43"/>
      <c r="D27" s="4"/>
    </row>
    <row r="28" spans="1:9" ht="14.45" x14ac:dyDescent="0.3">
      <c r="A28" s="12" t="s">
        <v>64</v>
      </c>
      <c r="B28" s="33">
        <v>0.92</v>
      </c>
      <c r="C28" s="44"/>
      <c r="D28" s="4"/>
    </row>
    <row r="29" spans="1:9" ht="14.45" x14ac:dyDescent="0.3">
      <c r="A29" s="12" t="s">
        <v>65</v>
      </c>
      <c r="B29" s="46">
        <f>B27*B28</f>
        <v>1997.3200000000002</v>
      </c>
      <c r="C29" s="4"/>
      <c r="D29" s="4"/>
    </row>
    <row r="30" spans="1:9" ht="14.45" x14ac:dyDescent="0.3">
      <c r="A30" s="12" t="s">
        <v>66</v>
      </c>
      <c r="B30" s="47">
        <f>B24/B29</f>
        <v>4303.4560984552381</v>
      </c>
      <c r="C30" s="45"/>
      <c r="D30" s="45"/>
    </row>
    <row r="32" spans="1:9" ht="14.45" x14ac:dyDescent="0.3">
      <c r="A32" s="35"/>
      <c r="B32" s="4"/>
      <c r="C32" s="4"/>
    </row>
    <row r="33" spans="1:3" ht="14.45" x14ac:dyDescent="0.3">
      <c r="A33" s="35"/>
      <c r="B33" s="4"/>
      <c r="C33" s="4"/>
    </row>
    <row r="34" spans="1:3" ht="14.45" x14ac:dyDescent="0.3">
      <c r="A34" s="84"/>
      <c r="B34" s="4"/>
      <c r="C34" s="4"/>
    </row>
    <row r="35" spans="1:3" ht="14.45" x14ac:dyDescent="0.3">
      <c r="A35" s="4"/>
      <c r="B35" s="4"/>
      <c r="C35" s="4"/>
    </row>
    <row r="36" spans="1:3" ht="14.45" x14ac:dyDescent="0.3">
      <c r="A36" s="84"/>
      <c r="B36" s="45"/>
      <c r="C36" s="4"/>
    </row>
    <row r="37" spans="1:3" ht="14.45" x14ac:dyDescent="0.3">
      <c r="A37" s="84"/>
      <c r="B37" s="45"/>
      <c r="C37" s="4"/>
    </row>
    <row r="38" spans="1:3" ht="14.45" x14ac:dyDescent="0.3">
      <c r="A38" s="4"/>
      <c r="B38" s="42"/>
      <c r="C38" s="4"/>
    </row>
    <row r="39" spans="1:3" ht="14.45" x14ac:dyDescent="0.3">
      <c r="A39" s="84"/>
      <c r="B39" s="45"/>
      <c r="C39" s="4"/>
    </row>
    <row r="40" spans="1:3" ht="14.45" x14ac:dyDescent="0.3">
      <c r="A40" s="4"/>
      <c r="B40" s="4"/>
      <c r="C40" s="4"/>
    </row>
    <row r="41" spans="1:3" ht="14.45" x14ac:dyDescent="0.3">
      <c r="A41" s="4"/>
      <c r="B41" s="4"/>
      <c r="C41" s="4"/>
    </row>
  </sheetData>
  <mergeCells count="1">
    <mergeCell ref="C12:C15"/>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0"/>
  <sheetViews>
    <sheetView topLeftCell="A22" workbookViewId="0">
      <selection activeCell="A31" sqref="A31:C40"/>
    </sheetView>
  </sheetViews>
  <sheetFormatPr defaultColWidth="9.140625" defaultRowHeight="15" x14ac:dyDescent="0.25"/>
  <cols>
    <col min="1" max="1" width="58.140625" bestFit="1" customWidth="1"/>
    <col min="2" max="2" width="17.28515625" bestFit="1" customWidth="1"/>
    <col min="3" max="3" width="24.7109375" customWidth="1"/>
    <col min="4" max="4" width="10.5703125" bestFit="1" customWidth="1"/>
    <col min="5" max="5" width="15.28515625" bestFit="1" customWidth="1"/>
    <col min="8" max="8" width="11.7109375" bestFit="1" customWidth="1"/>
    <col min="9" max="9" width="13.7109375" bestFit="1" customWidth="1"/>
  </cols>
  <sheetData>
    <row r="1" spans="1:12" x14ac:dyDescent="0.25">
      <c r="H1" s="3"/>
    </row>
    <row r="2" spans="1:12" x14ac:dyDescent="0.25">
      <c r="A2" t="s">
        <v>12</v>
      </c>
      <c r="B2" t="s">
        <v>13</v>
      </c>
      <c r="C2" t="s">
        <v>14</v>
      </c>
    </row>
    <row r="3" spans="1:12" ht="14.45" customHeight="1" x14ac:dyDescent="0.25">
      <c r="A3" s="12" t="s">
        <v>15</v>
      </c>
      <c r="B3" s="13">
        <v>48992316</v>
      </c>
      <c r="C3" t="s">
        <v>77</v>
      </c>
    </row>
    <row r="4" spans="1:12" x14ac:dyDescent="0.25">
      <c r="A4" s="12" t="s">
        <v>17</v>
      </c>
      <c r="B4" s="14">
        <f>B3*0.2</f>
        <v>9798463.2000000011</v>
      </c>
      <c r="H4" s="15"/>
    </row>
    <row r="5" spans="1:12" x14ac:dyDescent="0.25">
      <c r="A5" s="12" t="s">
        <v>24</v>
      </c>
      <c r="B5" s="14">
        <f>SUM(B3:B4)</f>
        <v>58790779.200000003</v>
      </c>
      <c r="L5" s="15"/>
    </row>
    <row r="6" spans="1:12" ht="30" x14ac:dyDescent="0.25">
      <c r="A6" s="12" t="s">
        <v>27</v>
      </c>
      <c r="B6">
        <f>(0.0325*(1+0.0325)^30)/(((1+0.0325)^30)-1)</f>
        <v>5.2681716941736761E-2</v>
      </c>
      <c r="C6" s="16" t="s">
        <v>86</v>
      </c>
      <c r="H6" s="17"/>
    </row>
    <row r="8" spans="1:12" x14ac:dyDescent="0.25">
      <c r="A8" s="18"/>
      <c r="B8" s="19"/>
      <c r="C8" s="19"/>
    </row>
    <row r="9" spans="1:12" x14ac:dyDescent="0.25">
      <c r="A9" s="12" t="s">
        <v>29</v>
      </c>
      <c r="B9" s="20">
        <f>B5*B6</f>
        <v>3097199.1885985453</v>
      </c>
      <c r="H9" s="15"/>
    </row>
    <row r="10" spans="1:12" x14ac:dyDescent="0.25">
      <c r="A10" t="s">
        <v>32</v>
      </c>
      <c r="L10" s="15"/>
    </row>
    <row r="11" spans="1:12" x14ac:dyDescent="0.25">
      <c r="A11" s="12" t="s">
        <v>69</v>
      </c>
      <c r="B11" s="21">
        <v>361108</v>
      </c>
      <c r="H11" s="22"/>
    </row>
    <row r="12" spans="1:12" ht="14.45" customHeight="1" x14ac:dyDescent="0.25">
      <c r="A12" s="12" t="s">
        <v>75</v>
      </c>
      <c r="B12" s="23">
        <v>112972</v>
      </c>
      <c r="C12" s="87"/>
    </row>
    <row r="13" spans="1:12" x14ac:dyDescent="0.25">
      <c r="A13" s="12" t="s">
        <v>71</v>
      </c>
      <c r="B13" s="23">
        <v>12189</v>
      </c>
      <c r="C13" s="87"/>
    </row>
    <row r="14" spans="1:12" x14ac:dyDescent="0.25">
      <c r="A14" s="12" t="s">
        <v>72</v>
      </c>
      <c r="B14" s="23">
        <v>18206</v>
      </c>
      <c r="C14" s="87"/>
    </row>
    <row r="15" spans="1:12" x14ac:dyDescent="0.25">
      <c r="A15" s="12" t="s">
        <v>73</v>
      </c>
      <c r="B15" s="23">
        <v>397132</v>
      </c>
      <c r="C15" s="87"/>
      <c r="H15" s="24"/>
    </row>
    <row r="16" spans="1:12" x14ac:dyDescent="0.25">
      <c r="A16" s="12" t="s">
        <v>78</v>
      </c>
      <c r="B16" s="25">
        <v>19860</v>
      </c>
    </row>
    <row r="17" spans="1:9" x14ac:dyDescent="0.25">
      <c r="A17" s="12" t="s">
        <v>44</v>
      </c>
      <c r="B17" s="21">
        <f>SUM(B11:B16)</f>
        <v>921467</v>
      </c>
    </row>
    <row r="18" spans="1:9" x14ac:dyDescent="0.25">
      <c r="A18" s="1" t="s">
        <v>46</v>
      </c>
      <c r="I18" s="15"/>
    </row>
    <row r="19" spans="1:9" x14ac:dyDescent="0.25">
      <c r="A19" s="12" t="s">
        <v>47</v>
      </c>
      <c r="B19" s="41">
        <f>0.6*(SUM(B11:B13))</f>
        <v>291761.39999999997</v>
      </c>
    </row>
    <row r="20" spans="1:9" x14ac:dyDescent="0.25">
      <c r="A20" s="12" t="s">
        <v>53</v>
      </c>
      <c r="B20" s="37">
        <f>0.02*B5</f>
        <v>1175815.584</v>
      </c>
    </row>
    <row r="21" spans="1:9" x14ac:dyDescent="0.25">
      <c r="A21" s="12" t="s">
        <v>54</v>
      </c>
      <c r="B21" s="37">
        <f>0.01*B5</f>
        <v>587907.79200000002</v>
      </c>
      <c r="I21" s="13"/>
    </row>
    <row r="22" spans="1:9" x14ac:dyDescent="0.25">
      <c r="A22" s="18" t="s">
        <v>56</v>
      </c>
      <c r="B22" s="38">
        <f>0.01*B5</f>
        <v>587907.79200000002</v>
      </c>
    </row>
    <row r="23" spans="1:9" x14ac:dyDescent="0.25">
      <c r="A23" s="12" t="s">
        <v>57</v>
      </c>
      <c r="B23" s="25">
        <f>SUM(B19:B22)</f>
        <v>2643392.568</v>
      </c>
      <c r="I23" s="13"/>
    </row>
    <row r="24" spans="1:9" ht="14.45" x14ac:dyDescent="0.3">
      <c r="A24" s="12" t="s">
        <v>59</v>
      </c>
      <c r="B24" s="20">
        <f>SUM(B9,B17,B23)</f>
        <v>6662058.7565985452</v>
      </c>
    </row>
    <row r="25" spans="1:9" ht="14.45" x14ac:dyDescent="0.3">
      <c r="I25" s="21"/>
    </row>
    <row r="26" spans="1:9" ht="14.45" x14ac:dyDescent="0.3">
      <c r="B26" s="31" t="s">
        <v>4</v>
      </c>
      <c r="C26" s="42"/>
      <c r="D26" s="42"/>
    </row>
    <row r="27" spans="1:9" ht="14.45" x14ac:dyDescent="0.3">
      <c r="A27" s="12" t="s">
        <v>62</v>
      </c>
      <c r="B27" s="32">
        <f>'[1]Read Me'!M6</f>
        <v>2171</v>
      </c>
      <c r="C27" s="43"/>
      <c r="D27" s="4"/>
    </row>
    <row r="28" spans="1:9" ht="14.45" x14ac:dyDescent="0.3">
      <c r="A28" s="12" t="s">
        <v>64</v>
      </c>
      <c r="B28" s="33">
        <v>0.4</v>
      </c>
      <c r="C28" s="44"/>
      <c r="D28" s="4"/>
    </row>
    <row r="29" spans="1:9" ht="14.45" x14ac:dyDescent="0.3">
      <c r="A29" s="12" t="s">
        <v>65</v>
      </c>
      <c r="B29" s="48">
        <f>B27*B28</f>
        <v>868.40000000000009</v>
      </c>
      <c r="C29" s="4"/>
      <c r="D29" s="4"/>
    </row>
    <row r="30" spans="1:9" ht="14.45" x14ac:dyDescent="0.3">
      <c r="A30" s="12" t="s">
        <v>66</v>
      </c>
      <c r="B30" s="86">
        <f>B24/B29</f>
        <v>7671.6475778426357</v>
      </c>
      <c r="C30" s="45"/>
      <c r="D30" s="45"/>
    </row>
    <row r="31" spans="1:9" ht="14.45" x14ac:dyDescent="0.3">
      <c r="A31" s="4"/>
      <c r="B31" s="4"/>
      <c r="C31" s="4"/>
    </row>
    <row r="32" spans="1:9" ht="14.45" x14ac:dyDescent="0.3">
      <c r="A32" s="35"/>
      <c r="B32" s="4"/>
      <c r="C32" s="4"/>
    </row>
    <row r="33" spans="1:3" ht="14.45" x14ac:dyDescent="0.3">
      <c r="A33" s="35"/>
      <c r="B33" s="4"/>
      <c r="C33" s="4"/>
    </row>
    <row r="34" spans="1:3" ht="14.45" x14ac:dyDescent="0.3">
      <c r="A34" s="84"/>
      <c r="B34" s="4"/>
      <c r="C34" s="4"/>
    </row>
    <row r="35" spans="1:3" ht="14.45" x14ac:dyDescent="0.3">
      <c r="A35" s="4"/>
      <c r="B35" s="4"/>
      <c r="C35" s="4"/>
    </row>
    <row r="36" spans="1:3" ht="14.45" x14ac:dyDescent="0.3">
      <c r="A36" s="84"/>
      <c r="B36" s="45"/>
      <c r="C36" s="4"/>
    </row>
    <row r="37" spans="1:3" ht="14.45" x14ac:dyDescent="0.3">
      <c r="A37" s="84"/>
      <c r="B37" s="45"/>
      <c r="C37" s="4"/>
    </row>
    <row r="38" spans="1:3" ht="14.45" x14ac:dyDescent="0.3">
      <c r="A38" s="4"/>
      <c r="B38" s="42"/>
      <c r="C38" s="4"/>
    </row>
    <row r="39" spans="1:3" ht="14.45" x14ac:dyDescent="0.3">
      <c r="A39" s="84"/>
      <c r="B39" s="45"/>
      <c r="C39" s="4"/>
    </row>
    <row r="40" spans="1:3" ht="14.45" x14ac:dyDescent="0.3">
      <c r="A40" s="4"/>
      <c r="B40" s="4"/>
      <c r="C40" s="4"/>
    </row>
  </sheetData>
  <mergeCells count="1">
    <mergeCell ref="C12:C1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Page</vt:lpstr>
      <vt:lpstr>FFCC Read Me </vt:lpstr>
      <vt:lpstr>FFCC Boiler replacement x 3</vt:lpstr>
      <vt:lpstr>FFCC Boiler retrofit to gas x 3</vt:lpstr>
      <vt:lpstr>FFCC Boiler replacement x 1</vt:lpstr>
      <vt:lpstr>FFCC Boiler retrofit to gas x1</vt:lpstr>
      <vt:lpstr>FFCC Wet Scrubber</vt:lpstr>
      <vt:lpstr>FFCC SDA</vt:lpstr>
      <vt:lpstr>FFCC DSI</vt:lpstr>
      <vt:lpstr>FFC LSC</vt:lpstr>
      <vt:lpstr>FFCC SCR</vt:lpstr>
      <vt:lpstr>FFCC SNCR </vt:lpstr>
      <vt:lpstr>CEPCI Index</vt:lpstr>
    </vt:vector>
  </TitlesOfParts>
  <Company>ADEQ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Treece</dc:creator>
  <cp:lastModifiedBy>Author&lt;*&gt;</cp:lastModifiedBy>
  <dcterms:created xsi:type="dcterms:W3CDTF">2020-08-04T18:56:13Z</dcterms:created>
  <dcterms:modified xsi:type="dcterms:W3CDTF">2021-10-14T15:21:13Z</dcterms:modified>
</cp:coreProperties>
</file>